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 codeName="ЭтаКнига" defaultThemeVersion="124226"/>
  <bookViews>
    <workbookView xWindow="0" yWindow="0" windowWidth="21840" windowHeight="8910" tabRatio="721" activeTab="1"/>
  </bookViews>
  <sheets>
    <sheet name="введ" sheetId="12" r:id="rId1"/>
    <sheet name="910.00" sheetId="1" r:id="rId2"/>
    <sheet name="дохТОО" sheetId="2" r:id="rId3"/>
    <sheet name="2.1" sheetId="60" r:id="rId4"/>
    <sheet name="2.2" sheetId="63" r:id="rId5"/>
    <sheet name="2.3" sheetId="64" r:id="rId6"/>
    <sheet name="2.4" sheetId="3" r:id="rId7"/>
    <sheet name="2.5" sheetId="65" r:id="rId8"/>
    <sheet name="2.6" sheetId="66" r:id="rId9"/>
    <sheet name="3гпх" sheetId="68" r:id="rId10"/>
    <sheet name="4гпх" sheetId="69" r:id="rId11"/>
    <sheet name="дивид" sheetId="73" r:id="rId12"/>
    <sheet name="свод" sheetId="72" r:id="rId13"/>
    <sheet name="910.01" sheetId="70" r:id="rId14"/>
    <sheet name="910.02" sheetId="71" r:id="rId15"/>
  </sheets>
  <definedNames>
    <definedName name="_SUB100" localSheetId="0">введ!$A$3</definedName>
    <definedName name="sub1002163307" localSheetId="0">введ!$A$4</definedName>
  </definedNames>
  <calcPr calcId="162913"/>
</workbook>
</file>

<file path=xl/calcChain.xml><?xml version="1.0" encoding="utf-8"?>
<calcChain xmlns="http://schemas.openxmlformats.org/spreadsheetml/2006/main">
  <c r="M26" i="68" l="1"/>
  <c r="M25" i="68"/>
  <c r="M24" i="68"/>
  <c r="M23" i="68"/>
  <c r="M22" i="68"/>
  <c r="M21" i="68"/>
  <c r="M20" i="68"/>
  <c r="M19" i="68"/>
  <c r="M18" i="68"/>
  <c r="M17" i="68"/>
  <c r="M16" i="68"/>
  <c r="K26" i="68"/>
  <c r="K25" i="68"/>
  <c r="K24" i="68"/>
  <c r="K23" i="68"/>
  <c r="K22" i="68"/>
  <c r="K21" i="68"/>
  <c r="K20" i="68"/>
  <c r="K19" i="68"/>
  <c r="K18" i="68"/>
  <c r="K17" i="68"/>
  <c r="K16" i="68"/>
  <c r="K15" i="68"/>
  <c r="I26" i="73" l="1"/>
  <c r="I25" i="73"/>
  <c r="I24" i="73"/>
  <c r="I23" i="73"/>
  <c r="I22" i="73"/>
  <c r="I21" i="73"/>
  <c r="I20" i="73"/>
  <c r="I19" i="73"/>
  <c r="I18" i="73"/>
  <c r="I17" i="73"/>
  <c r="I16" i="73"/>
  <c r="I15" i="73"/>
  <c r="L25" i="66"/>
  <c r="L24" i="66"/>
  <c r="L23" i="66"/>
  <c r="L22" i="66"/>
  <c r="L21" i="66"/>
  <c r="L20" i="66"/>
  <c r="L19" i="66"/>
  <c r="L18" i="66"/>
  <c r="L17" i="66"/>
  <c r="L16" i="66"/>
  <c r="L15" i="66"/>
  <c r="L14" i="66"/>
  <c r="J25" i="66"/>
  <c r="J24" i="66"/>
  <c r="J23" i="66"/>
  <c r="J22" i="66"/>
  <c r="J21" i="66"/>
  <c r="J20" i="66"/>
  <c r="J19" i="66"/>
  <c r="J18" i="66"/>
  <c r="J17" i="66"/>
  <c r="J16" i="66"/>
  <c r="J15" i="66"/>
  <c r="J14" i="66"/>
  <c r="E25" i="66"/>
  <c r="E24" i="66"/>
  <c r="E23" i="66"/>
  <c r="E22" i="66"/>
  <c r="E21" i="66"/>
  <c r="E20" i="66"/>
  <c r="E19" i="66"/>
  <c r="E18" i="66"/>
  <c r="E17" i="66"/>
  <c r="E15" i="66"/>
  <c r="E14" i="66"/>
  <c r="L25" i="65"/>
  <c r="L24" i="65"/>
  <c r="L23" i="65"/>
  <c r="L22" i="65"/>
  <c r="L21" i="65"/>
  <c r="L20" i="65"/>
  <c r="L19" i="65"/>
  <c r="L18" i="65"/>
  <c r="L17" i="65"/>
  <c r="L16" i="65"/>
  <c r="L15" i="65"/>
  <c r="L14" i="65"/>
  <c r="J25" i="65"/>
  <c r="J24" i="65"/>
  <c r="J23" i="65"/>
  <c r="J22" i="65"/>
  <c r="J21" i="65"/>
  <c r="J20" i="65"/>
  <c r="J19" i="65"/>
  <c r="J18" i="65"/>
  <c r="J17" i="65"/>
  <c r="J16" i="65"/>
  <c r="J15" i="65"/>
  <c r="J14" i="65"/>
  <c r="E25" i="65"/>
  <c r="E24" i="65"/>
  <c r="E23" i="65"/>
  <c r="E22" i="65"/>
  <c r="E21" i="65"/>
  <c r="E20" i="65"/>
  <c r="E19" i="65"/>
  <c r="E18" i="65"/>
  <c r="E17" i="65"/>
  <c r="E16" i="65"/>
  <c r="E15" i="65"/>
  <c r="E14" i="65"/>
  <c r="L25" i="3"/>
  <c r="L24" i="3"/>
  <c r="L23" i="3"/>
  <c r="L22" i="3"/>
  <c r="L21" i="3"/>
  <c r="L20" i="3"/>
  <c r="L19" i="3"/>
  <c r="L18" i="3"/>
  <c r="L17" i="3"/>
  <c r="L16" i="3"/>
  <c r="L15" i="3"/>
  <c r="L14" i="3"/>
  <c r="J25" i="3"/>
  <c r="J24" i="3"/>
  <c r="J23" i="3"/>
  <c r="J22" i="3"/>
  <c r="J21" i="3"/>
  <c r="J20" i="3"/>
  <c r="J19" i="3"/>
  <c r="J18" i="3"/>
  <c r="J17" i="3"/>
  <c r="J16" i="3"/>
  <c r="J15" i="3"/>
  <c r="J14" i="3"/>
  <c r="E25" i="3"/>
  <c r="E24" i="3"/>
  <c r="E23" i="3"/>
  <c r="E22" i="3"/>
  <c r="E21" i="3"/>
  <c r="E20" i="3"/>
  <c r="E19" i="3"/>
  <c r="E18" i="3"/>
  <c r="E17" i="3"/>
  <c r="E16" i="3"/>
  <c r="E15" i="3"/>
  <c r="E14" i="3"/>
  <c r="L25" i="60"/>
  <c r="L24" i="60"/>
  <c r="L23" i="60"/>
  <c r="L22" i="60"/>
  <c r="L21" i="60"/>
  <c r="L20" i="60"/>
  <c r="L19" i="60"/>
  <c r="L18" i="60"/>
  <c r="L17" i="60"/>
  <c r="L16" i="60"/>
  <c r="L15" i="60"/>
  <c r="L14" i="60"/>
  <c r="J25" i="60"/>
  <c r="J24" i="60"/>
  <c r="J23" i="60"/>
  <c r="J22" i="60"/>
  <c r="J21" i="60"/>
  <c r="J20" i="60"/>
  <c r="J19" i="60"/>
  <c r="J18" i="60"/>
  <c r="J17" i="60"/>
  <c r="J16" i="60"/>
  <c r="J15" i="60"/>
  <c r="J14" i="60"/>
  <c r="E25" i="60"/>
  <c r="E24" i="60"/>
  <c r="E23" i="60"/>
  <c r="E22" i="60"/>
  <c r="E21" i="60"/>
  <c r="E20" i="60"/>
  <c r="E19" i="60"/>
  <c r="E18" i="60"/>
  <c r="E17" i="60"/>
  <c r="E16" i="60"/>
  <c r="E15" i="60"/>
  <c r="E14" i="60"/>
  <c r="L25" i="64"/>
  <c r="L24" i="64"/>
  <c r="L23" i="64"/>
  <c r="L22" i="64"/>
  <c r="L21" i="64"/>
  <c r="L20" i="64"/>
  <c r="L19" i="64"/>
  <c r="L18" i="64"/>
  <c r="L16" i="64"/>
  <c r="L15" i="64"/>
  <c r="L14" i="64"/>
  <c r="J25" i="64"/>
  <c r="J24" i="64"/>
  <c r="J23" i="64"/>
  <c r="J22" i="64"/>
  <c r="J21" i="64"/>
  <c r="J20" i="64"/>
  <c r="J19" i="64"/>
  <c r="J18" i="64"/>
  <c r="J16" i="64"/>
  <c r="J15" i="64"/>
  <c r="J14" i="64"/>
  <c r="E25" i="64"/>
  <c r="E24" i="64"/>
  <c r="E23" i="64"/>
  <c r="E22" i="64"/>
  <c r="E21" i="64"/>
  <c r="E20" i="64"/>
  <c r="E19" i="64"/>
  <c r="E18" i="64"/>
  <c r="E16" i="64"/>
  <c r="E15" i="64"/>
  <c r="E14" i="64"/>
  <c r="L25" i="63"/>
  <c r="L24" i="63"/>
  <c r="L23" i="63"/>
  <c r="L22" i="63"/>
  <c r="L21" i="63"/>
  <c r="L20" i="63"/>
  <c r="L19" i="63"/>
  <c r="L18" i="63"/>
  <c r="L16" i="63"/>
  <c r="L15" i="63"/>
  <c r="L14" i="63"/>
  <c r="J25" i="63"/>
  <c r="J24" i="63"/>
  <c r="J23" i="63"/>
  <c r="J22" i="63"/>
  <c r="J21" i="63"/>
  <c r="J20" i="63"/>
  <c r="J19" i="63"/>
  <c r="J18" i="63"/>
  <c r="J16" i="63"/>
  <c r="J15" i="63"/>
  <c r="J14" i="63"/>
  <c r="E25" i="63"/>
  <c r="E24" i="63"/>
  <c r="E23" i="63"/>
  <c r="E22" i="63"/>
  <c r="E21" i="63"/>
  <c r="E20" i="63"/>
  <c r="E19" i="63"/>
  <c r="E18" i="63"/>
  <c r="E16" i="63"/>
  <c r="E15" i="63"/>
  <c r="E14" i="63"/>
  <c r="C24" i="2" l="1"/>
  <c r="E24" i="2" l="1"/>
  <c r="AF25" i="72"/>
  <c r="AF24" i="72"/>
  <c r="AF23" i="72"/>
  <c r="AF22" i="72"/>
  <c r="AF21" i="72"/>
  <c r="AF20" i="72"/>
  <c r="AF19" i="72"/>
  <c r="AF16" i="72"/>
  <c r="AF15" i="72"/>
  <c r="AF14" i="72"/>
  <c r="AE14" i="72"/>
  <c r="AE25" i="72"/>
  <c r="AE24" i="72"/>
  <c r="AE23" i="72"/>
  <c r="AE22" i="72"/>
  <c r="AE21" i="72"/>
  <c r="AE20" i="72"/>
  <c r="AE19" i="72"/>
  <c r="AE16" i="72"/>
  <c r="AE15" i="72"/>
  <c r="L25" i="72"/>
  <c r="L24" i="72"/>
  <c r="L23" i="72"/>
  <c r="L22" i="72"/>
  <c r="L21" i="72"/>
  <c r="L20" i="72"/>
  <c r="K25" i="72"/>
  <c r="K24" i="72"/>
  <c r="K23" i="72"/>
  <c r="K22" i="72"/>
  <c r="K21" i="72"/>
  <c r="K20" i="72"/>
  <c r="J25" i="72"/>
  <c r="J24" i="72"/>
  <c r="J23" i="72"/>
  <c r="J22" i="72"/>
  <c r="J21" i="72"/>
  <c r="J20" i="72"/>
  <c r="J19" i="72"/>
  <c r="I25" i="72"/>
  <c r="I24" i="72"/>
  <c r="I23" i="72"/>
  <c r="I22" i="72"/>
  <c r="I21" i="72"/>
  <c r="I20" i="72"/>
  <c r="I19" i="72"/>
  <c r="I18" i="72"/>
  <c r="I17" i="72"/>
  <c r="I16" i="72"/>
  <c r="I15" i="72"/>
  <c r="I14" i="72"/>
  <c r="D25" i="72"/>
  <c r="D24" i="72"/>
  <c r="D23" i="72"/>
  <c r="D22" i="72"/>
  <c r="D21" i="72"/>
  <c r="D20" i="72"/>
  <c r="D19" i="72"/>
  <c r="D18" i="72"/>
  <c r="D17" i="72"/>
  <c r="D16" i="72"/>
  <c r="D15" i="72"/>
  <c r="D14" i="72"/>
  <c r="M154" i="1"/>
  <c r="M153" i="1"/>
  <c r="M152" i="1"/>
  <c r="D154" i="1"/>
  <c r="D153" i="1"/>
  <c r="D152" i="1"/>
  <c r="M149" i="1" l="1"/>
  <c r="M148" i="1"/>
  <c r="M147" i="1"/>
  <c r="D149" i="1"/>
  <c r="D148" i="1"/>
  <c r="D147" i="1"/>
  <c r="M108" i="1"/>
  <c r="AI26" i="73"/>
  <c r="AI25" i="73"/>
  <c r="AI24" i="73"/>
  <c r="AI23" i="73"/>
  <c r="AI22" i="73"/>
  <c r="AI21" i="73"/>
  <c r="AI20" i="73"/>
  <c r="AI19" i="73"/>
  <c r="AK19" i="73" s="1"/>
  <c r="AI18" i="73"/>
  <c r="AI17" i="73"/>
  <c r="AI16" i="73"/>
  <c r="AI15" i="73"/>
  <c r="AG26" i="73"/>
  <c r="AG25" i="73"/>
  <c r="AG24" i="73"/>
  <c r="AG23" i="73"/>
  <c r="AG22" i="73"/>
  <c r="AG21" i="73"/>
  <c r="AG20" i="73"/>
  <c r="AG19" i="73"/>
  <c r="AG18" i="73"/>
  <c r="AG17" i="73"/>
  <c r="AG16" i="73"/>
  <c r="AG15" i="73"/>
  <c r="AE26" i="73"/>
  <c r="AE25" i="73"/>
  <c r="AE24" i="73"/>
  <c r="AE23" i="73"/>
  <c r="AK23" i="73" s="1"/>
  <c r="AE22" i="73"/>
  <c r="AE21" i="73"/>
  <c r="AE20" i="73"/>
  <c r="AE19" i="73"/>
  <c r="AE18" i="73"/>
  <c r="AE17" i="73"/>
  <c r="AE16" i="73"/>
  <c r="AE15" i="73"/>
  <c r="AJ26" i="73"/>
  <c r="AJ25" i="73"/>
  <c r="AJ24" i="73"/>
  <c r="AJ23" i="73"/>
  <c r="AJ22" i="73"/>
  <c r="AJ21" i="73"/>
  <c r="AJ20" i="73"/>
  <c r="AJ19" i="73"/>
  <c r="AJ18" i="73"/>
  <c r="AJ17" i="73"/>
  <c r="AJ16" i="73"/>
  <c r="AJ15" i="73"/>
  <c r="AH26" i="73"/>
  <c r="AH25" i="73"/>
  <c r="AH24" i="73"/>
  <c r="AH23" i="73"/>
  <c r="AH22" i="73"/>
  <c r="AH21" i="73"/>
  <c r="AH20" i="73"/>
  <c r="AH19" i="73"/>
  <c r="AH18" i="73"/>
  <c r="AH17" i="73"/>
  <c r="AH16" i="73"/>
  <c r="AH15" i="73"/>
  <c r="AF26" i="73"/>
  <c r="AF25" i="73"/>
  <c r="AF24" i="73"/>
  <c r="AF23" i="73"/>
  <c r="AF22" i="73"/>
  <c r="AF21" i="73"/>
  <c r="AF20" i="73"/>
  <c r="AF19" i="73"/>
  <c r="AF18" i="73"/>
  <c r="AF17" i="73"/>
  <c r="AF16" i="73"/>
  <c r="AF15" i="73"/>
  <c r="AD26" i="73"/>
  <c r="AD25" i="73"/>
  <c r="AD24" i="73"/>
  <c r="AL24" i="73" s="1"/>
  <c r="AD23" i="73"/>
  <c r="AD22" i="73"/>
  <c r="AD21" i="73"/>
  <c r="AD20" i="73"/>
  <c r="AD19" i="73"/>
  <c r="AD18" i="73"/>
  <c r="AD17" i="73"/>
  <c r="AD16" i="73"/>
  <c r="AD15" i="73"/>
  <c r="AB26" i="73"/>
  <c r="AB25" i="73"/>
  <c r="AL25" i="73" s="1"/>
  <c r="AB24" i="73"/>
  <c r="AB23" i="73"/>
  <c r="AB22" i="73"/>
  <c r="AL22" i="73" s="1"/>
  <c r="AB21" i="73"/>
  <c r="AL21" i="73" s="1"/>
  <c r="AB20" i="73"/>
  <c r="AB19" i="73"/>
  <c r="AB18" i="73"/>
  <c r="AB17" i="73"/>
  <c r="AB16" i="73"/>
  <c r="AB15" i="73"/>
  <c r="AC26" i="73"/>
  <c r="AC25" i="73"/>
  <c r="AC24" i="73"/>
  <c r="AC23" i="73"/>
  <c r="AC22" i="73"/>
  <c r="AC21" i="73"/>
  <c r="AC20" i="73"/>
  <c r="AC19" i="73"/>
  <c r="AC18" i="73"/>
  <c r="AC17" i="73"/>
  <c r="AC16" i="73"/>
  <c r="AC15" i="73"/>
  <c r="AA26" i="73"/>
  <c r="AK26" i="73" s="1"/>
  <c r="AA25" i="73"/>
  <c r="AA24" i="73"/>
  <c r="AA23" i="73"/>
  <c r="AA22" i="73"/>
  <c r="AK22" i="73" s="1"/>
  <c r="AA21" i="73"/>
  <c r="AA20" i="73"/>
  <c r="AA19" i="73"/>
  <c r="AA18" i="73"/>
  <c r="AK18" i="73" s="1"/>
  <c r="AA17" i="73"/>
  <c r="AA16" i="73"/>
  <c r="AK16" i="73" s="1"/>
  <c r="AA15" i="73"/>
  <c r="Z26" i="73"/>
  <c r="Z25" i="73"/>
  <c r="Z24" i="73"/>
  <c r="Z23" i="73"/>
  <c r="Z22" i="73"/>
  <c r="Z21" i="73"/>
  <c r="Z20" i="73"/>
  <c r="Z19" i="73"/>
  <c r="Z18" i="73"/>
  <c r="Z17" i="73"/>
  <c r="Z16" i="73"/>
  <c r="AL16" i="73" s="1"/>
  <c r="Z15" i="73"/>
  <c r="AL26" i="73"/>
  <c r="AL18" i="73"/>
  <c r="Y26" i="73"/>
  <c r="Y25" i="73"/>
  <c r="Y24" i="73"/>
  <c r="Y23" i="73"/>
  <c r="Y22" i="73"/>
  <c r="Y21" i="73"/>
  <c r="Y20" i="73"/>
  <c r="Y19" i="73"/>
  <c r="Y18" i="73"/>
  <c r="Y17" i="73"/>
  <c r="Y27" i="73" s="1"/>
  <c r="Y16" i="73"/>
  <c r="Y15" i="73"/>
  <c r="AK15" i="73"/>
  <c r="Y14" i="73"/>
  <c r="M14" i="73"/>
  <c r="AI14" i="73"/>
  <c r="AG14" i="73"/>
  <c r="AE14" i="73"/>
  <c r="AC14" i="73"/>
  <c r="AA14" i="73"/>
  <c r="AK24" i="73"/>
  <c r="AL20" i="73"/>
  <c r="AK20" i="73"/>
  <c r="W14" i="73"/>
  <c r="U14" i="73"/>
  <c r="S14" i="73"/>
  <c r="Q14" i="73"/>
  <c r="O14" i="73"/>
  <c r="AK21" i="73" l="1"/>
  <c r="AK25" i="73"/>
  <c r="AH27" i="73"/>
  <c r="AD27" i="73"/>
  <c r="AE27" i="73"/>
  <c r="AI27" i="73"/>
  <c r="AF27" i="73"/>
  <c r="AG27" i="73"/>
  <c r="AL17" i="73"/>
  <c r="AA27" i="73"/>
  <c r="AC27" i="73"/>
  <c r="AJ27" i="73"/>
  <c r="AL19" i="73"/>
  <c r="AL23" i="73"/>
  <c r="AB27" i="73"/>
  <c r="AK17" i="73"/>
  <c r="AK27" i="73" s="1"/>
  <c r="Z27" i="73"/>
  <c r="AL15" i="73"/>
  <c r="AL27" i="73" s="1"/>
  <c r="H8" i="73" l="1"/>
  <c r="G8" i="73"/>
  <c r="F7" i="73"/>
  <c r="G27" i="73"/>
  <c r="F27" i="73"/>
  <c r="V26" i="73"/>
  <c r="R26" i="73"/>
  <c r="N26" i="73"/>
  <c r="L26" i="73"/>
  <c r="U26" i="73" s="1"/>
  <c r="J26" i="73"/>
  <c r="H26" i="73"/>
  <c r="K26" i="73" s="1"/>
  <c r="W25" i="73"/>
  <c r="U25" i="73"/>
  <c r="S25" i="73"/>
  <c r="Q25" i="73"/>
  <c r="O25" i="73"/>
  <c r="M25" i="73"/>
  <c r="L25" i="73"/>
  <c r="V25" i="73" s="1"/>
  <c r="K25" i="73"/>
  <c r="J25" i="73"/>
  <c r="H25" i="73"/>
  <c r="L24" i="73"/>
  <c r="W24" i="73" s="1"/>
  <c r="J24" i="73"/>
  <c r="H24" i="73"/>
  <c r="K24" i="73" s="1"/>
  <c r="W23" i="73"/>
  <c r="U23" i="73"/>
  <c r="S23" i="73"/>
  <c r="Q23" i="73"/>
  <c r="O23" i="73"/>
  <c r="N23" i="73"/>
  <c r="M23" i="73"/>
  <c r="L23" i="73"/>
  <c r="X23" i="73" s="1"/>
  <c r="J23" i="73"/>
  <c r="K23" i="73"/>
  <c r="H23" i="73"/>
  <c r="V22" i="73"/>
  <c r="R22" i="73"/>
  <c r="N22" i="73"/>
  <c r="L22" i="73"/>
  <c r="U22" i="73" s="1"/>
  <c r="J22" i="73"/>
  <c r="H22" i="73"/>
  <c r="K22" i="73" s="1"/>
  <c r="W21" i="73"/>
  <c r="U21" i="73"/>
  <c r="S21" i="73"/>
  <c r="Q21" i="73"/>
  <c r="O21" i="73"/>
  <c r="M21" i="73"/>
  <c r="L21" i="73"/>
  <c r="V21" i="73" s="1"/>
  <c r="K21" i="73"/>
  <c r="J21" i="73"/>
  <c r="H21" i="73"/>
  <c r="L20" i="73"/>
  <c r="W20" i="73" s="1"/>
  <c r="J20" i="73"/>
  <c r="H20" i="73"/>
  <c r="K20" i="73" s="1"/>
  <c r="W19" i="73"/>
  <c r="U19" i="73"/>
  <c r="S19" i="73"/>
  <c r="Q19" i="73"/>
  <c r="O19" i="73"/>
  <c r="M19" i="73"/>
  <c r="L19" i="73"/>
  <c r="X19" i="73" s="1"/>
  <c r="J19" i="73"/>
  <c r="K19" i="73"/>
  <c r="H19" i="73"/>
  <c r="V18" i="73"/>
  <c r="R18" i="73"/>
  <c r="N18" i="73"/>
  <c r="L18" i="73"/>
  <c r="U18" i="73" s="1"/>
  <c r="J18" i="73"/>
  <c r="H18" i="73"/>
  <c r="K18" i="73" s="1"/>
  <c r="L17" i="73"/>
  <c r="V17" i="73" s="1"/>
  <c r="J17" i="73"/>
  <c r="K17" i="73"/>
  <c r="H17" i="73"/>
  <c r="L16" i="73"/>
  <c r="W16" i="73" s="1"/>
  <c r="J16" i="73"/>
  <c r="H16" i="73"/>
  <c r="K16" i="73" s="1"/>
  <c r="W15" i="73"/>
  <c r="U15" i="73"/>
  <c r="S15" i="73"/>
  <c r="Q15" i="73"/>
  <c r="M15" i="73"/>
  <c r="L15" i="73"/>
  <c r="X15" i="73" s="1"/>
  <c r="J15" i="73"/>
  <c r="K15" i="73"/>
  <c r="L19" i="72" s="1"/>
  <c r="H15" i="73"/>
  <c r="O15" i="73" l="1"/>
  <c r="K19" i="72"/>
  <c r="H27" i="73"/>
  <c r="S17" i="73"/>
  <c r="U17" i="73"/>
  <c r="O17" i="73"/>
  <c r="W17" i="73"/>
  <c r="M17" i="73"/>
  <c r="Q17" i="73"/>
  <c r="J27" i="73"/>
  <c r="K27" i="73"/>
  <c r="P16" i="73"/>
  <c r="X16" i="73"/>
  <c r="P24" i="73"/>
  <c r="T24" i="73"/>
  <c r="X24" i="73"/>
  <c r="N15" i="73"/>
  <c r="R15" i="73"/>
  <c r="V15" i="73"/>
  <c r="M16" i="73"/>
  <c r="Q16" i="73"/>
  <c r="U16" i="73"/>
  <c r="P17" i="73"/>
  <c r="T17" i="73"/>
  <c r="X17" i="73"/>
  <c r="O18" i="73"/>
  <c r="S18" i="73"/>
  <c r="W18" i="73"/>
  <c r="N19" i="73"/>
  <c r="R19" i="73"/>
  <c r="V19" i="73"/>
  <c r="M20" i="73"/>
  <c r="Q20" i="73"/>
  <c r="U20" i="73"/>
  <c r="P21" i="73"/>
  <c r="T21" i="73"/>
  <c r="X21" i="73"/>
  <c r="O22" i="73"/>
  <c r="S22" i="73"/>
  <c r="W22" i="73"/>
  <c r="R23" i="73"/>
  <c r="V23" i="73"/>
  <c r="M24" i="73"/>
  <c r="Q24" i="73"/>
  <c r="U24" i="73"/>
  <c r="P25" i="73"/>
  <c r="T25" i="73"/>
  <c r="X25" i="73"/>
  <c r="O26" i="73"/>
  <c r="S26" i="73"/>
  <c r="W26" i="73"/>
  <c r="N16" i="73"/>
  <c r="R16" i="73"/>
  <c r="V16" i="73"/>
  <c r="P18" i="73"/>
  <c r="T18" i="73"/>
  <c r="X18" i="73"/>
  <c r="N20" i="73"/>
  <c r="R20" i="73"/>
  <c r="V20" i="73"/>
  <c r="P22" i="73"/>
  <c r="T22" i="73"/>
  <c r="X22" i="73"/>
  <c r="N24" i="73"/>
  <c r="R24" i="73"/>
  <c r="V24" i="73"/>
  <c r="P26" i="73"/>
  <c r="T26" i="73"/>
  <c r="X26" i="73"/>
  <c r="T16" i="73"/>
  <c r="P20" i="73"/>
  <c r="T20" i="73"/>
  <c r="X20" i="73"/>
  <c r="P15" i="73"/>
  <c r="T15" i="73"/>
  <c r="O16" i="73"/>
  <c r="S16" i="73"/>
  <c r="N17" i="73"/>
  <c r="R17" i="73"/>
  <c r="M18" i="73"/>
  <c r="Q18" i="73"/>
  <c r="P19" i="73"/>
  <c r="T19" i="73"/>
  <c r="O20" i="73"/>
  <c r="S20" i="73"/>
  <c r="N21" i="73"/>
  <c r="R21" i="73"/>
  <c r="M22" i="73"/>
  <c r="Q22" i="73"/>
  <c r="P23" i="73"/>
  <c r="T23" i="73"/>
  <c r="O24" i="73"/>
  <c r="S24" i="73"/>
  <c r="N25" i="73"/>
  <c r="R25" i="73"/>
  <c r="M26" i="73"/>
  <c r="Q26" i="73"/>
  <c r="M27" i="73" l="1"/>
  <c r="U27" i="73"/>
  <c r="S27" i="73"/>
  <c r="O27" i="73"/>
  <c r="Q27" i="73"/>
  <c r="W27" i="73"/>
  <c r="X27" i="73"/>
  <c r="R27" i="73"/>
  <c r="V27" i="73"/>
  <c r="P27" i="73"/>
  <c r="N27" i="73"/>
  <c r="T27" i="73"/>
  <c r="AH26" i="71" l="1"/>
  <c r="AH25" i="71"/>
  <c r="AH24" i="71"/>
  <c r="AH23" i="71"/>
  <c r="AH22" i="71"/>
  <c r="AH21" i="71"/>
  <c r="AH20" i="71"/>
  <c r="AH19" i="71"/>
  <c r="AH18" i="71"/>
  <c r="AG26" i="71"/>
  <c r="AG25" i="71"/>
  <c r="AG24" i="71"/>
  <c r="AG23" i="71"/>
  <c r="AG22" i="71"/>
  <c r="AG21" i="71"/>
  <c r="AG20" i="71"/>
  <c r="AG19" i="71"/>
  <c r="AG18" i="71"/>
  <c r="AF26" i="71"/>
  <c r="AF25" i="71"/>
  <c r="AF24" i="71"/>
  <c r="AF23" i="71"/>
  <c r="AF22" i="71"/>
  <c r="AF21" i="71"/>
  <c r="AF20" i="71"/>
  <c r="AF19" i="71"/>
  <c r="AF18" i="71"/>
  <c r="Z26" i="71"/>
  <c r="AC26" i="71" s="1"/>
  <c r="Z25" i="71"/>
  <c r="AC25" i="71" s="1"/>
  <c r="Z24" i="71"/>
  <c r="AC24" i="71" s="1"/>
  <c r="Z23" i="71"/>
  <c r="AC23" i="71" s="1"/>
  <c r="Z22" i="71"/>
  <c r="AC22" i="71" s="1"/>
  <c r="Z21" i="71"/>
  <c r="AC21" i="71" s="1"/>
  <c r="Z20" i="71"/>
  <c r="AC20" i="71" s="1"/>
  <c r="Z19" i="71"/>
  <c r="AC19" i="71" s="1"/>
  <c r="Z18" i="71"/>
  <c r="Z17" i="71"/>
  <c r="Y26" i="71"/>
  <c r="Y25" i="71"/>
  <c r="Y24" i="71"/>
  <c r="Y23" i="71"/>
  <c r="Y22" i="71"/>
  <c r="Y21" i="71"/>
  <c r="Y20" i="71"/>
  <c r="Y19" i="71"/>
  <c r="Y18" i="71"/>
  <c r="W26" i="71"/>
  <c r="W25" i="71"/>
  <c r="W24" i="71"/>
  <c r="W23" i="71"/>
  <c r="W22" i="71"/>
  <c r="W21" i="71"/>
  <c r="W20" i="71"/>
  <c r="W19" i="71"/>
  <c r="W18" i="71"/>
  <c r="P26" i="71"/>
  <c r="P25" i="71"/>
  <c r="P24" i="71"/>
  <c r="P23" i="71"/>
  <c r="P22" i="71"/>
  <c r="P21" i="71"/>
  <c r="P20" i="71"/>
  <c r="P19" i="71"/>
  <c r="P18" i="71"/>
  <c r="P17" i="71"/>
  <c r="F26" i="70"/>
  <c r="F25" i="70"/>
  <c r="F24" i="70"/>
  <c r="F23" i="70"/>
  <c r="F22" i="70"/>
  <c r="F21" i="70"/>
  <c r="F20" i="70"/>
  <c r="F19" i="70"/>
  <c r="F18" i="70"/>
  <c r="U26" i="71"/>
  <c r="AE26" i="71" s="1"/>
  <c r="U25" i="71"/>
  <c r="AE25" i="71" s="1"/>
  <c r="U24" i="71"/>
  <c r="AE24" i="71" s="1"/>
  <c r="U23" i="71"/>
  <c r="AE23" i="71" s="1"/>
  <c r="U22" i="71"/>
  <c r="AE22" i="71" s="1"/>
  <c r="U21" i="71"/>
  <c r="AE21" i="71" s="1"/>
  <c r="U20" i="71"/>
  <c r="AE20" i="71" s="1"/>
  <c r="U19" i="71"/>
  <c r="AE19" i="71" s="1"/>
  <c r="U18" i="71"/>
  <c r="T26" i="71"/>
  <c r="AD26" i="71" s="1"/>
  <c r="T25" i="71"/>
  <c r="AD25" i="71" s="1"/>
  <c r="T24" i="71"/>
  <c r="AD24" i="71" s="1"/>
  <c r="T23" i="71"/>
  <c r="AD23" i="71" s="1"/>
  <c r="T22" i="71"/>
  <c r="AD22" i="71" s="1"/>
  <c r="T21" i="71"/>
  <c r="AD21" i="71" s="1"/>
  <c r="T20" i="71"/>
  <c r="AD20" i="71" s="1"/>
  <c r="T19" i="71"/>
  <c r="AD19" i="71" s="1"/>
  <c r="T18" i="71"/>
  <c r="S26" i="71"/>
  <c r="S25" i="71"/>
  <c r="S24" i="71"/>
  <c r="S23" i="71"/>
  <c r="S22" i="71"/>
  <c r="S21" i="71"/>
  <c r="S20" i="71"/>
  <c r="S19" i="71"/>
  <c r="S18" i="71"/>
  <c r="S17" i="71"/>
  <c r="S15" i="71"/>
  <c r="R26" i="71"/>
  <c r="R25" i="71"/>
  <c r="R24" i="71"/>
  <c r="R23" i="71"/>
  <c r="R22" i="71"/>
  <c r="R21" i="71"/>
  <c r="R20" i="71"/>
  <c r="R19" i="71"/>
  <c r="R18" i="71"/>
  <c r="R17" i="71"/>
  <c r="R16" i="71"/>
  <c r="AA27" i="71"/>
  <c r="Q8" i="71"/>
  <c r="P8" i="71"/>
  <c r="P7" i="71"/>
  <c r="D4" i="71"/>
  <c r="W26" i="70"/>
  <c r="W25" i="70"/>
  <c r="W24" i="70"/>
  <c r="W23" i="70"/>
  <c r="W22" i="70"/>
  <c r="W21" i="70"/>
  <c r="W20" i="70"/>
  <c r="W19" i="70"/>
  <c r="V26" i="70"/>
  <c r="V25" i="70"/>
  <c r="V24" i="70"/>
  <c r="V23" i="70"/>
  <c r="V22" i="70"/>
  <c r="V21" i="70"/>
  <c r="V20" i="70"/>
  <c r="V19" i="70"/>
  <c r="U26" i="70"/>
  <c r="U25" i="70"/>
  <c r="U24" i="70"/>
  <c r="U23" i="70"/>
  <c r="U22" i="70"/>
  <c r="U21" i="70"/>
  <c r="U20" i="70"/>
  <c r="U19" i="70"/>
  <c r="O26" i="70"/>
  <c r="R26" i="70" s="1"/>
  <c r="O25" i="70"/>
  <c r="R25" i="70" s="1"/>
  <c r="O24" i="70"/>
  <c r="R24" i="70" s="1"/>
  <c r="O23" i="70"/>
  <c r="R23" i="70" s="1"/>
  <c r="O22" i="70"/>
  <c r="R22" i="70" s="1"/>
  <c r="O21" i="70"/>
  <c r="R21" i="70" s="1"/>
  <c r="O20" i="70"/>
  <c r="R20" i="70" s="1"/>
  <c r="O19" i="70"/>
  <c r="R19" i="70" s="1"/>
  <c r="N26" i="70"/>
  <c r="N25" i="70"/>
  <c r="N24" i="70"/>
  <c r="N23" i="70"/>
  <c r="N22" i="70"/>
  <c r="N21" i="70"/>
  <c r="N20" i="70"/>
  <c r="N19" i="70"/>
  <c r="L26" i="70"/>
  <c r="L25" i="70"/>
  <c r="L24" i="70"/>
  <c r="L23" i="70"/>
  <c r="L22" i="70"/>
  <c r="L21" i="70"/>
  <c r="L20" i="70"/>
  <c r="L19" i="70"/>
  <c r="P15" i="71"/>
  <c r="F16" i="70"/>
  <c r="F15" i="70"/>
  <c r="AN26" i="68"/>
  <c r="AN25" i="68"/>
  <c r="AN24" i="68"/>
  <c r="AN23" i="68"/>
  <c r="AN22" i="68"/>
  <c r="AN21" i="68"/>
  <c r="AN20" i="68"/>
  <c r="AN19" i="68"/>
  <c r="AN18" i="68"/>
  <c r="AN17" i="68"/>
  <c r="AN16" i="68"/>
  <c r="AM26" i="68"/>
  <c r="AM25" i="68"/>
  <c r="AM24" i="68"/>
  <c r="AM23" i="68"/>
  <c r="AM22" i="68"/>
  <c r="AM21" i="68"/>
  <c r="AM20" i="68"/>
  <c r="AM19" i="68"/>
  <c r="AM18" i="68"/>
  <c r="AM17" i="68"/>
  <c r="AM16" i="68"/>
  <c r="AC25" i="72"/>
  <c r="AC24" i="72"/>
  <c r="AC23" i="72"/>
  <c r="AC22" i="72"/>
  <c r="AC21" i="72"/>
  <c r="AC20" i="72"/>
  <c r="AC19" i="72"/>
  <c r="U17" i="71" s="1"/>
  <c r="AC16" i="72"/>
  <c r="AC15" i="72"/>
  <c r="AC14" i="72"/>
  <c r="AB25" i="72"/>
  <c r="AB24" i="72"/>
  <c r="AB23" i="72"/>
  <c r="AB22" i="72"/>
  <c r="AB21" i="72"/>
  <c r="AB20" i="72"/>
  <c r="AB19" i="72"/>
  <c r="AH17" i="71" s="1"/>
  <c r="AB18" i="72"/>
  <c r="AB16" i="72"/>
  <c r="AB15" i="72"/>
  <c r="AB14" i="72"/>
  <c r="W15" i="70" s="1"/>
  <c r="AA25" i="72"/>
  <c r="AA24" i="72"/>
  <c r="AA23" i="72"/>
  <c r="AA22" i="72"/>
  <c r="AA21" i="72"/>
  <c r="AA20" i="72"/>
  <c r="AA19" i="72"/>
  <c r="AA16" i="72"/>
  <c r="AA15" i="72"/>
  <c r="AA14" i="72"/>
  <c r="Z25" i="72"/>
  <c r="Z24" i="72"/>
  <c r="Z23" i="72"/>
  <c r="Z22" i="72"/>
  <c r="Z21" i="72"/>
  <c r="Z20" i="72"/>
  <c r="Z19" i="72"/>
  <c r="Z18" i="72"/>
  <c r="Z16" i="72"/>
  <c r="Z15" i="72"/>
  <c r="Z14" i="72"/>
  <c r="F14" i="69"/>
  <c r="F13" i="69"/>
  <c r="F12" i="69"/>
  <c r="F11" i="69"/>
  <c r="F10" i="69"/>
  <c r="F9" i="69"/>
  <c r="F8" i="69"/>
  <c r="F7" i="69"/>
  <c r="F6" i="69"/>
  <c r="F5" i="69"/>
  <c r="F4" i="69"/>
  <c r="I14" i="69"/>
  <c r="I13" i="69"/>
  <c r="I12" i="69"/>
  <c r="I11" i="69"/>
  <c r="I10" i="69"/>
  <c r="I9" i="69"/>
  <c r="I8" i="69"/>
  <c r="I7" i="69"/>
  <c r="I6" i="69"/>
  <c r="I5" i="69"/>
  <c r="I4" i="69"/>
  <c r="J26" i="70"/>
  <c r="T26" i="70" s="1"/>
  <c r="J25" i="70"/>
  <c r="T25" i="70" s="1"/>
  <c r="J24" i="70"/>
  <c r="T24" i="70" s="1"/>
  <c r="J23" i="70"/>
  <c r="T23" i="70" s="1"/>
  <c r="J22" i="70"/>
  <c r="T22" i="70" s="1"/>
  <c r="J21" i="70"/>
  <c r="T21" i="70" s="1"/>
  <c r="J20" i="70"/>
  <c r="T20" i="70" s="1"/>
  <c r="J19" i="70"/>
  <c r="T19" i="70" s="1"/>
  <c r="I26" i="70"/>
  <c r="S26" i="70" s="1"/>
  <c r="I25" i="70"/>
  <c r="S25" i="70" s="1"/>
  <c r="I24" i="70"/>
  <c r="S24" i="70" s="1"/>
  <c r="I23" i="70"/>
  <c r="S23" i="70" s="1"/>
  <c r="I22" i="70"/>
  <c r="S22" i="70" s="1"/>
  <c r="I21" i="70"/>
  <c r="S21" i="70" s="1"/>
  <c r="I20" i="70"/>
  <c r="S20" i="70" s="1"/>
  <c r="I19" i="70"/>
  <c r="S19" i="70" s="1"/>
  <c r="AH15" i="71" l="1"/>
  <c r="W17" i="70"/>
  <c r="AE17" i="71"/>
  <c r="Q20" i="70"/>
  <c r="Q24" i="70"/>
  <c r="AB20" i="71"/>
  <c r="Q21" i="70"/>
  <c r="Q25" i="70"/>
  <c r="AB21" i="71"/>
  <c r="AB25" i="71"/>
  <c r="AB24" i="71"/>
  <c r="Q22" i="70"/>
  <c r="Q26" i="70"/>
  <c r="AB18" i="71"/>
  <c r="AB22" i="71"/>
  <c r="AB26" i="71"/>
  <c r="U15" i="71"/>
  <c r="AE15" i="71" s="1"/>
  <c r="Q19" i="70"/>
  <c r="Q23" i="70"/>
  <c r="AB19" i="71"/>
  <c r="AB23" i="71"/>
  <c r="W16" i="70"/>
  <c r="W18" i="70"/>
  <c r="AE18" i="71"/>
  <c r="V14" i="69"/>
  <c r="V13" i="69"/>
  <c r="V12" i="69"/>
  <c r="V11" i="69"/>
  <c r="V10" i="69"/>
  <c r="V9" i="69"/>
  <c r="V8" i="69"/>
  <c r="V7" i="69"/>
  <c r="V6" i="69"/>
  <c r="V5" i="69"/>
  <c r="V4" i="69"/>
  <c r="V3" i="69"/>
  <c r="T14" i="69"/>
  <c r="T13" i="69"/>
  <c r="T12" i="69"/>
  <c r="T11" i="69"/>
  <c r="T10" i="69"/>
  <c r="T9" i="69"/>
  <c r="T8" i="69"/>
  <c r="T7" i="69"/>
  <c r="T6" i="69"/>
  <c r="T5" i="69"/>
  <c r="T4" i="69"/>
  <c r="T3" i="69"/>
  <c r="R14" i="69"/>
  <c r="R13" i="69"/>
  <c r="R12" i="69"/>
  <c r="R11" i="69"/>
  <c r="R10" i="69"/>
  <c r="R9" i="69"/>
  <c r="R8" i="69"/>
  <c r="R7" i="69"/>
  <c r="R6" i="69"/>
  <c r="R5" i="69"/>
  <c r="R4" i="69"/>
  <c r="P14" i="69"/>
  <c r="P13" i="69"/>
  <c r="P12" i="69"/>
  <c r="P11" i="69"/>
  <c r="P10" i="69"/>
  <c r="P9" i="69"/>
  <c r="P8" i="69"/>
  <c r="P7" i="69"/>
  <c r="P6" i="69"/>
  <c r="P5" i="69"/>
  <c r="P4" i="69"/>
  <c r="P3" i="69"/>
  <c r="N14" i="69" l="1"/>
  <c r="N13" i="69"/>
  <c r="N12" i="69"/>
  <c r="N11" i="69"/>
  <c r="N10" i="69"/>
  <c r="N9" i="69"/>
  <c r="N8" i="69"/>
  <c r="N7" i="69"/>
  <c r="N6" i="69"/>
  <c r="N5" i="69"/>
  <c r="N4" i="69"/>
  <c r="N3" i="69"/>
  <c r="L14" i="69" l="1"/>
  <c r="L13" i="69"/>
  <c r="L12" i="69"/>
  <c r="L11" i="69"/>
  <c r="L10" i="69"/>
  <c r="L9" i="69"/>
  <c r="L8" i="69"/>
  <c r="L7" i="69"/>
  <c r="L6" i="69"/>
  <c r="L5" i="69"/>
  <c r="L4" i="69"/>
  <c r="L3" i="69"/>
  <c r="K3" i="69"/>
  <c r="H15" i="69" l="1"/>
  <c r="V25" i="72" l="1"/>
  <c r="V24" i="72"/>
  <c r="V23" i="72"/>
  <c r="V22" i="72"/>
  <c r="V21" i="72"/>
  <c r="V20" i="72"/>
  <c r="V19" i="72"/>
  <c r="AG17" i="71" s="1"/>
  <c r="V18" i="72"/>
  <c r="V17" i="72"/>
  <c r="V16" i="72"/>
  <c r="V15" i="72"/>
  <c r="V14" i="72"/>
  <c r="V15" i="70" s="1"/>
  <c r="U25" i="72"/>
  <c r="U24" i="72"/>
  <c r="U23" i="72"/>
  <c r="U22" i="72"/>
  <c r="U21" i="72"/>
  <c r="U20" i="72"/>
  <c r="U19" i="72"/>
  <c r="U18" i="72"/>
  <c r="U17" i="72"/>
  <c r="U16" i="72"/>
  <c r="U15" i="72"/>
  <c r="U14" i="72"/>
  <c r="T25" i="72"/>
  <c r="T24" i="72"/>
  <c r="T23" i="72"/>
  <c r="T22" i="72"/>
  <c r="T21" i="72"/>
  <c r="T20" i="72"/>
  <c r="T19" i="72"/>
  <c r="AF17" i="71" s="1"/>
  <c r="T18" i="72"/>
  <c r="T16" i="72"/>
  <c r="T15" i="72"/>
  <c r="T14" i="72"/>
  <c r="U15" i="70" s="1"/>
  <c r="S25" i="72"/>
  <c r="S24" i="72"/>
  <c r="S23" i="72"/>
  <c r="S22" i="72"/>
  <c r="S21" i="72"/>
  <c r="S20" i="72"/>
  <c r="S19" i="72"/>
  <c r="S18" i="72"/>
  <c r="S16" i="72"/>
  <c r="S15" i="72"/>
  <c r="S14" i="72"/>
  <c r="R25" i="72"/>
  <c r="R24" i="72"/>
  <c r="R23" i="72"/>
  <c r="R22" i="72"/>
  <c r="R21" i="72"/>
  <c r="R20" i="72"/>
  <c r="R19" i="72"/>
  <c r="R18" i="72"/>
  <c r="R16" i="72"/>
  <c r="R15" i="72"/>
  <c r="R14" i="72"/>
  <c r="Q25" i="72"/>
  <c r="Q24" i="72"/>
  <c r="Q23" i="72"/>
  <c r="Q22" i="72"/>
  <c r="Q21" i="72"/>
  <c r="Q20" i="72"/>
  <c r="Q19" i="72"/>
  <c r="Q18" i="72"/>
  <c r="Q17" i="72"/>
  <c r="Q16" i="72"/>
  <c r="Q15" i="72"/>
  <c r="Q14" i="72"/>
  <c r="P25" i="72"/>
  <c r="P24" i="72"/>
  <c r="P23" i="72"/>
  <c r="P22" i="72"/>
  <c r="P21" i="72"/>
  <c r="P20" i="72"/>
  <c r="P19" i="72"/>
  <c r="T17" i="71" s="1"/>
  <c r="AB17" i="71" s="1"/>
  <c r="P16" i="72"/>
  <c r="P15" i="72"/>
  <c r="P14" i="72"/>
  <c r="I15" i="70" s="1"/>
  <c r="N25" i="72"/>
  <c r="N24" i="72"/>
  <c r="N23" i="72"/>
  <c r="N22" i="72"/>
  <c r="N21" i="72"/>
  <c r="N20" i="72"/>
  <c r="N19" i="72"/>
  <c r="N16" i="72"/>
  <c r="N15" i="72"/>
  <c r="N14" i="72"/>
  <c r="H26" i="70"/>
  <c r="H25" i="70"/>
  <c r="H24" i="70"/>
  <c r="H23" i="70"/>
  <c r="H22" i="70"/>
  <c r="H21" i="70"/>
  <c r="H20" i="70"/>
  <c r="H19" i="70"/>
  <c r="M25" i="72"/>
  <c r="M24" i="72"/>
  <c r="M23" i="72"/>
  <c r="M22" i="72"/>
  <c r="M21" i="72"/>
  <c r="M20" i="72"/>
  <c r="M19" i="72"/>
  <c r="M18" i="72"/>
  <c r="M17" i="72"/>
  <c r="M16" i="72"/>
  <c r="M15" i="72"/>
  <c r="M14" i="72"/>
  <c r="S16" i="71"/>
  <c r="S27" i="71" s="1"/>
  <c r="R15" i="71"/>
  <c r="H25" i="72"/>
  <c r="H24" i="72"/>
  <c r="H23" i="72"/>
  <c r="H22" i="72"/>
  <c r="H21" i="72"/>
  <c r="H20" i="72"/>
  <c r="H19" i="72"/>
  <c r="Y17" i="71" s="1"/>
  <c r="H18" i="72"/>
  <c r="H17" i="72"/>
  <c r="H16" i="72"/>
  <c r="Y16" i="71" s="1"/>
  <c r="H15" i="72"/>
  <c r="H14" i="72"/>
  <c r="N15" i="70" s="1"/>
  <c r="G25" i="72"/>
  <c r="G24" i="72"/>
  <c r="G23" i="72"/>
  <c r="G22" i="72"/>
  <c r="G21" i="72"/>
  <c r="G20" i="72"/>
  <c r="G19" i="72"/>
  <c r="G18" i="72"/>
  <c r="G17" i="72"/>
  <c r="G16" i="72"/>
  <c r="G15" i="72"/>
  <c r="G14" i="72"/>
  <c r="I26" i="66"/>
  <c r="H26" i="66"/>
  <c r="G26" i="66"/>
  <c r="I26" i="65"/>
  <c r="H26" i="65"/>
  <c r="G26" i="65"/>
  <c r="I26" i="3"/>
  <c r="H26" i="3"/>
  <c r="G26" i="3"/>
  <c r="I26" i="64"/>
  <c r="H26" i="64"/>
  <c r="G26" i="64"/>
  <c r="I26" i="63"/>
  <c r="H26" i="63"/>
  <c r="G26" i="63"/>
  <c r="J16" i="72"/>
  <c r="G26" i="60"/>
  <c r="I27" i="68"/>
  <c r="F25" i="72"/>
  <c r="F24" i="72"/>
  <c r="F23" i="72"/>
  <c r="F22" i="72"/>
  <c r="F21" i="72"/>
  <c r="F20" i="72"/>
  <c r="F19" i="72"/>
  <c r="AG16" i="71" l="1"/>
  <c r="Y15" i="71"/>
  <c r="Y27" i="71" s="1"/>
  <c r="AF15" i="71"/>
  <c r="AG15" i="71"/>
  <c r="S15" i="70"/>
  <c r="T15" i="71"/>
  <c r="H15" i="70"/>
  <c r="U16" i="70"/>
  <c r="V16" i="70"/>
  <c r="AC17" i="71"/>
  <c r="N17" i="70"/>
  <c r="U17" i="70"/>
  <c r="V17" i="70"/>
  <c r="H17" i="70"/>
  <c r="AD17" i="71"/>
  <c r="N16" i="70"/>
  <c r="H16" i="70"/>
  <c r="U18" i="70"/>
  <c r="V26" i="72"/>
  <c r="V18" i="70"/>
  <c r="N18" i="70"/>
  <c r="H18" i="70"/>
  <c r="G26" i="72"/>
  <c r="E25" i="72"/>
  <c r="E24" i="72"/>
  <c r="E23" i="72"/>
  <c r="E22" i="72"/>
  <c r="E21" i="72"/>
  <c r="E20" i="72"/>
  <c r="E19" i="72"/>
  <c r="W17" i="71" s="1"/>
  <c r="E18" i="72"/>
  <c r="AD15" i="71" l="1"/>
  <c r="AG27" i="71"/>
  <c r="R27" i="71"/>
  <c r="H27" i="70"/>
  <c r="N27" i="70"/>
  <c r="Y26" i="72"/>
  <c r="U26" i="72"/>
  <c r="Q26" i="72"/>
  <c r="M26" i="72"/>
  <c r="I26" i="72"/>
  <c r="H26" i="72"/>
  <c r="H8" i="72"/>
  <c r="E7" i="72"/>
  <c r="J18" i="70" l="1"/>
  <c r="T18" i="70" s="1"/>
  <c r="AL26" i="68" l="1"/>
  <c r="AK26" i="68"/>
  <c r="AL25" i="68"/>
  <c r="AK25" i="68"/>
  <c r="AL24" i="68"/>
  <c r="AK24" i="68"/>
  <c r="AL23" i="68"/>
  <c r="AK23" i="68"/>
  <c r="AL22" i="68"/>
  <c r="AK22" i="68"/>
  <c r="AL21" i="68"/>
  <c r="AK21" i="68"/>
  <c r="AL20" i="68"/>
  <c r="AK20" i="68"/>
  <c r="AL19" i="68"/>
  <c r="AK19" i="68"/>
  <c r="AL18" i="68"/>
  <c r="AK18" i="68"/>
  <c r="AL17" i="68"/>
  <c r="AK17" i="68"/>
  <c r="AL16" i="68"/>
  <c r="AK16" i="68"/>
  <c r="AL15" i="68"/>
  <c r="AL27" i="68" s="1"/>
  <c r="AK15" i="68"/>
  <c r="AJ26" i="68"/>
  <c r="AI26" i="68"/>
  <c r="AJ25" i="68"/>
  <c r="AI25" i="68"/>
  <c r="AJ24" i="68"/>
  <c r="AI24" i="68"/>
  <c r="AJ23" i="68"/>
  <c r="AI23" i="68"/>
  <c r="AJ22" i="68"/>
  <c r="AI22" i="68"/>
  <c r="AJ21" i="68"/>
  <c r="AI21" i="68"/>
  <c r="AJ20" i="68"/>
  <c r="AI20" i="68"/>
  <c r="AJ19" i="68"/>
  <c r="AI19" i="68"/>
  <c r="AJ18" i="68"/>
  <c r="AI18" i="68"/>
  <c r="AJ17" i="68"/>
  <c r="AI17" i="68"/>
  <c r="AJ16" i="68"/>
  <c r="AI16" i="68"/>
  <c r="AJ15" i="68"/>
  <c r="AJ27" i="68" s="1"/>
  <c r="AI15" i="68"/>
  <c r="AI27" i="68" s="1"/>
  <c r="M103" i="1" s="1"/>
  <c r="AH26" i="68"/>
  <c r="AG26" i="68"/>
  <c r="AH25" i="68"/>
  <c r="AG25" i="68"/>
  <c r="AH24" i="68"/>
  <c r="AG24" i="68"/>
  <c r="AH23" i="68"/>
  <c r="AG23" i="68"/>
  <c r="AH22" i="68"/>
  <c r="AG22" i="68"/>
  <c r="AH21" i="68"/>
  <c r="AG21" i="68"/>
  <c r="AH20" i="68"/>
  <c r="AG20" i="68"/>
  <c r="AH19" i="68"/>
  <c r="AG19" i="68"/>
  <c r="AH18" i="68"/>
  <c r="AG18" i="68"/>
  <c r="AH17" i="68"/>
  <c r="AG17" i="68"/>
  <c r="AH16" i="68"/>
  <c r="AG16" i="68"/>
  <c r="AH15" i="68"/>
  <c r="AG15" i="68"/>
  <c r="AF26" i="68"/>
  <c r="AE26" i="68"/>
  <c r="AF25" i="68"/>
  <c r="AE25" i="68"/>
  <c r="AF24" i="68"/>
  <c r="AE24" i="68"/>
  <c r="AF23" i="68"/>
  <c r="AE23" i="68"/>
  <c r="AF22" i="68"/>
  <c r="AE22" i="68"/>
  <c r="AF21" i="68"/>
  <c r="AE21" i="68"/>
  <c r="AF20" i="68"/>
  <c r="AE20" i="68"/>
  <c r="AF19" i="68"/>
  <c r="AE19" i="68"/>
  <c r="AF18" i="68"/>
  <c r="AE18" i="68"/>
  <c r="AF17" i="68"/>
  <c r="AE17" i="68"/>
  <c r="AF16" i="68"/>
  <c r="AE16" i="68"/>
  <c r="AF15" i="68"/>
  <c r="AF27" i="68" s="1"/>
  <c r="AE15" i="68"/>
  <c r="AE27" i="68" s="1"/>
  <c r="AD26" i="68"/>
  <c r="AC26" i="68"/>
  <c r="AD25" i="68"/>
  <c r="AC25" i="68"/>
  <c r="AD24" i="68"/>
  <c r="AC24" i="68"/>
  <c r="AD23" i="68"/>
  <c r="AC23" i="68"/>
  <c r="AD22" i="68"/>
  <c r="AC22" i="68"/>
  <c r="AD21" i="68"/>
  <c r="AC21" i="68"/>
  <c r="AD20" i="68"/>
  <c r="AC20" i="68"/>
  <c r="AD19" i="68"/>
  <c r="AC19" i="68"/>
  <c r="AD18" i="68"/>
  <c r="AC18" i="68"/>
  <c r="AD17" i="68"/>
  <c r="AC17" i="68"/>
  <c r="AD16" i="68"/>
  <c r="AC16" i="68"/>
  <c r="AD15" i="68"/>
  <c r="AD27" i="68" s="1"/>
  <c r="AB26" i="68"/>
  <c r="AA26" i="68"/>
  <c r="AB25" i="68"/>
  <c r="AA25" i="68"/>
  <c r="AB24" i="68"/>
  <c r="AA24" i="68"/>
  <c r="AB23" i="68"/>
  <c r="AA23" i="68"/>
  <c r="AB22" i="68"/>
  <c r="AA22" i="68"/>
  <c r="AB21" i="68"/>
  <c r="AA21" i="68"/>
  <c r="AB20" i="68"/>
  <c r="AA20" i="68"/>
  <c r="AB19" i="68"/>
  <c r="AA19" i="68"/>
  <c r="AB18" i="68"/>
  <c r="AA18" i="68"/>
  <c r="AB17" i="68"/>
  <c r="AA17" i="68"/>
  <c r="AB16" i="68"/>
  <c r="AA16" i="68"/>
  <c r="AC15" i="68"/>
  <c r="AB15" i="68"/>
  <c r="AA15" i="68"/>
  <c r="AK14" i="68"/>
  <c r="AI14" i="68"/>
  <c r="AG14" i="68"/>
  <c r="AE14" i="68"/>
  <c r="AC14" i="68"/>
  <c r="AA14" i="68"/>
  <c r="AF25" i="66"/>
  <c r="AE25" i="66"/>
  <c r="AF24" i="66"/>
  <c r="AE24" i="66"/>
  <c r="AF23" i="66"/>
  <c r="AE23" i="66"/>
  <c r="AF22" i="66"/>
  <c r="AE22" i="66"/>
  <c r="AF21" i="66"/>
  <c r="AE21" i="66"/>
  <c r="AF20" i="66"/>
  <c r="AE20" i="66"/>
  <c r="AF19" i="66"/>
  <c r="AE19" i="66"/>
  <c r="AF18" i="66"/>
  <c r="AE18" i="66"/>
  <c r="AF17" i="66"/>
  <c r="AE17" i="66"/>
  <c r="AF16" i="66"/>
  <c r="AE16" i="66"/>
  <c r="AF15" i="66"/>
  <c r="AE15" i="66"/>
  <c r="AF14" i="66"/>
  <c r="AF26" i="66" s="1"/>
  <c r="AE14" i="66"/>
  <c r="AF25" i="65"/>
  <c r="AE25" i="65"/>
  <c r="AF24" i="65"/>
  <c r="AE24" i="65"/>
  <c r="AF23" i="65"/>
  <c r="AE23" i="65"/>
  <c r="AF22" i="65"/>
  <c r="AE22" i="65"/>
  <c r="AF21" i="65"/>
  <c r="AE21" i="65"/>
  <c r="AF20" i="65"/>
  <c r="AE20" i="65"/>
  <c r="AF19" i="65"/>
  <c r="AE19" i="65"/>
  <c r="AF18" i="65"/>
  <c r="AE18" i="65"/>
  <c r="AF17" i="65"/>
  <c r="AE17" i="65"/>
  <c r="AF16" i="65"/>
  <c r="AE16" i="65"/>
  <c r="AF15" i="65"/>
  <c r="AE15" i="65"/>
  <c r="AF14" i="65"/>
  <c r="AE14" i="65"/>
  <c r="AE26" i="65" s="1"/>
  <c r="AF25" i="3"/>
  <c r="AE25" i="3"/>
  <c r="AF24" i="3"/>
  <c r="AE24" i="3"/>
  <c r="AF23" i="3"/>
  <c r="AE23" i="3"/>
  <c r="AF22" i="3"/>
  <c r="AE22" i="3"/>
  <c r="AF21" i="3"/>
  <c r="AE21" i="3"/>
  <c r="AF20" i="3"/>
  <c r="AE20" i="3"/>
  <c r="AF19" i="3"/>
  <c r="AE19" i="3"/>
  <c r="AF18" i="3"/>
  <c r="AE18" i="3"/>
  <c r="AF17" i="3"/>
  <c r="AE17" i="3"/>
  <c r="AF16" i="3"/>
  <c r="AE16" i="3"/>
  <c r="AF15" i="3"/>
  <c r="AE15" i="3"/>
  <c r="AF14" i="3"/>
  <c r="AF26" i="3" s="1"/>
  <c r="AE14" i="3"/>
  <c r="AF25" i="64"/>
  <c r="AE25" i="64"/>
  <c r="AF24" i="64"/>
  <c r="AE24" i="64"/>
  <c r="AF23" i="64"/>
  <c r="AE23" i="64"/>
  <c r="AF22" i="64"/>
  <c r="AE22" i="64"/>
  <c r="AF21" i="64"/>
  <c r="AE21" i="64"/>
  <c r="AF20" i="64"/>
  <c r="AE20" i="64"/>
  <c r="AF19" i="64"/>
  <c r="AE19" i="64"/>
  <c r="AF18" i="64"/>
  <c r="AE18" i="64"/>
  <c r="AF17" i="64"/>
  <c r="AE17" i="64"/>
  <c r="AF16" i="64"/>
  <c r="AE16" i="64"/>
  <c r="AF15" i="64"/>
  <c r="AE15" i="64"/>
  <c r="AF14" i="64"/>
  <c r="AE14" i="64"/>
  <c r="AE26" i="64" s="1"/>
  <c r="AF25" i="63"/>
  <c r="AE25" i="63"/>
  <c r="AF24" i="63"/>
  <c r="AE24" i="63"/>
  <c r="AF23" i="63"/>
  <c r="AE23" i="63"/>
  <c r="AF22" i="63"/>
  <c r="AE22" i="63"/>
  <c r="AF21" i="63"/>
  <c r="AE21" i="63"/>
  <c r="AF20" i="63"/>
  <c r="AE20" i="63"/>
  <c r="AF19" i="63"/>
  <c r="AE19" i="63"/>
  <c r="AF18" i="63"/>
  <c r="AE18" i="63"/>
  <c r="AF17" i="63"/>
  <c r="AE17" i="63"/>
  <c r="AE17" i="72" s="1"/>
  <c r="AF16" i="63"/>
  <c r="AE16" i="63"/>
  <c r="AF15" i="63"/>
  <c r="AE15" i="63"/>
  <c r="AF14" i="63"/>
  <c r="AE14" i="63"/>
  <c r="AF25" i="60"/>
  <c r="AF24" i="60"/>
  <c r="AF23" i="60"/>
  <c r="AF22" i="60"/>
  <c r="AF21" i="60"/>
  <c r="AF20" i="60"/>
  <c r="AF19" i="60"/>
  <c r="AF18" i="60"/>
  <c r="AF17" i="60"/>
  <c r="AF16" i="60"/>
  <c r="AF15" i="60"/>
  <c r="AF14" i="60"/>
  <c r="AE25" i="60"/>
  <c r="AE24" i="60"/>
  <c r="AE23" i="60"/>
  <c r="AE22" i="60"/>
  <c r="AE21" i="60"/>
  <c r="AE20" i="60"/>
  <c r="AE19" i="60"/>
  <c r="AE18" i="60"/>
  <c r="AE17" i="60"/>
  <c r="AE16" i="60"/>
  <c r="AE15" i="60"/>
  <c r="AE14" i="60"/>
  <c r="Z25" i="66"/>
  <c r="Z24" i="66"/>
  <c r="Z23" i="66"/>
  <c r="Z22" i="66"/>
  <c r="Z21" i="66"/>
  <c r="Z20" i="66"/>
  <c r="Z19" i="66"/>
  <c r="Z18" i="66"/>
  <c r="Z17" i="66"/>
  <c r="Z16" i="66"/>
  <c r="Z15" i="66"/>
  <c r="Z14" i="66"/>
  <c r="Z25" i="65"/>
  <c r="Z24" i="65"/>
  <c r="Z23" i="65"/>
  <c r="Z22" i="65"/>
  <c r="Z21" i="65"/>
  <c r="Z20" i="65"/>
  <c r="Z19" i="65"/>
  <c r="Z18" i="65"/>
  <c r="Z17" i="65"/>
  <c r="Z16" i="65"/>
  <c r="Z15" i="65"/>
  <c r="Z14" i="65"/>
  <c r="Z15" i="64"/>
  <c r="Z25" i="3"/>
  <c r="Z24" i="3"/>
  <c r="Z23" i="3"/>
  <c r="Z22" i="3"/>
  <c r="Z21" i="3"/>
  <c r="Z20" i="3"/>
  <c r="Z19" i="3"/>
  <c r="Z18" i="3"/>
  <c r="Z17" i="3"/>
  <c r="Z16" i="3"/>
  <c r="Z15" i="3"/>
  <c r="Z14" i="3"/>
  <c r="Z25" i="64"/>
  <c r="Z24" i="64"/>
  <c r="Z23" i="64"/>
  <c r="Z22" i="64"/>
  <c r="Z21" i="64"/>
  <c r="Z20" i="64"/>
  <c r="Z19" i="64"/>
  <c r="Z18" i="64"/>
  <c r="Z17" i="64"/>
  <c r="Z16" i="64"/>
  <c r="Z14" i="64"/>
  <c r="Z25" i="63"/>
  <c r="Z24" i="63"/>
  <c r="Z23" i="63"/>
  <c r="Z22" i="63"/>
  <c r="Z21" i="63"/>
  <c r="Z20" i="63"/>
  <c r="Z19" i="63"/>
  <c r="Z18" i="63"/>
  <c r="Z17" i="63"/>
  <c r="Z16" i="63"/>
  <c r="Z15" i="63"/>
  <c r="Z14" i="63"/>
  <c r="Z25" i="60"/>
  <c r="Z24" i="60"/>
  <c r="Z23" i="60"/>
  <c r="Z22" i="60"/>
  <c r="Z21" i="60"/>
  <c r="Z20" i="60"/>
  <c r="Z19" i="60"/>
  <c r="Z18" i="60"/>
  <c r="Z17" i="60"/>
  <c r="Z16" i="60"/>
  <c r="Z15" i="60"/>
  <c r="Z14" i="60"/>
  <c r="AN15" i="68" l="1"/>
  <c r="D104" i="1"/>
  <c r="AN27" i="68"/>
  <c r="AF18" i="72"/>
  <c r="AF17" i="72"/>
  <c r="P16" i="71" s="1"/>
  <c r="P27" i="71" s="1"/>
  <c r="AF26" i="63"/>
  <c r="Z17" i="72"/>
  <c r="AF26" i="64"/>
  <c r="AM15" i="68"/>
  <c r="AH27" i="68"/>
  <c r="AC27" i="68"/>
  <c r="AB27" i="68"/>
  <c r="AG27" i="68"/>
  <c r="M102" i="1" s="1"/>
  <c r="AK27" i="68"/>
  <c r="AE26" i="66"/>
  <c r="M104" i="1" s="1"/>
  <c r="AF26" i="65"/>
  <c r="AE26" i="3"/>
  <c r="AE26" i="63"/>
  <c r="AF26" i="60"/>
  <c r="D26" i="72"/>
  <c r="AE26" i="60"/>
  <c r="AA27" i="68"/>
  <c r="D4" i="70"/>
  <c r="G8" i="70"/>
  <c r="F8" i="70"/>
  <c r="M101" i="1"/>
  <c r="M111" i="1" l="1"/>
  <c r="D102" i="1"/>
  <c r="D103" i="1"/>
  <c r="AM27" i="68"/>
  <c r="AE18" i="72"/>
  <c r="M107" i="1"/>
  <c r="AF26" i="72"/>
  <c r="L26" i="68"/>
  <c r="L25" i="68"/>
  <c r="L24" i="68"/>
  <c r="L23" i="68"/>
  <c r="L22" i="68"/>
  <c r="L21" i="68"/>
  <c r="L20" i="68"/>
  <c r="L19" i="68"/>
  <c r="L18" i="68"/>
  <c r="L17" i="68"/>
  <c r="L16" i="68"/>
  <c r="F17" i="70" l="1"/>
  <c r="F27" i="70" s="1"/>
  <c r="AE26" i="72"/>
  <c r="M105" i="1"/>
  <c r="J16" i="70"/>
  <c r="T16" i="70" s="1"/>
  <c r="F7" i="70"/>
  <c r="V27" i="70"/>
  <c r="W27" i="70" l="1"/>
  <c r="P27" i="70"/>
  <c r="K25" i="66" l="1"/>
  <c r="K24" i="66"/>
  <c r="K23" i="66"/>
  <c r="K22" i="66"/>
  <c r="K21" i="66"/>
  <c r="K20" i="66"/>
  <c r="K19" i="66"/>
  <c r="K18" i="66"/>
  <c r="K16" i="66"/>
  <c r="K15" i="66"/>
  <c r="K17" i="66"/>
  <c r="K25" i="65"/>
  <c r="K24" i="65"/>
  <c r="K23" i="65"/>
  <c r="K22" i="65"/>
  <c r="K21" i="65"/>
  <c r="K20" i="65"/>
  <c r="K19" i="65"/>
  <c r="K18" i="65"/>
  <c r="K16" i="65"/>
  <c r="K15" i="65"/>
  <c r="K17" i="65"/>
  <c r="K25" i="3"/>
  <c r="K24" i="3"/>
  <c r="K23" i="3"/>
  <c r="K22" i="3"/>
  <c r="K21" i="3"/>
  <c r="K20" i="3"/>
  <c r="K19" i="3"/>
  <c r="K18" i="3"/>
  <c r="K16" i="3"/>
  <c r="K15" i="3"/>
  <c r="K17" i="3"/>
  <c r="K25" i="64"/>
  <c r="K24" i="64"/>
  <c r="K23" i="64"/>
  <c r="K22" i="64"/>
  <c r="K21" i="64"/>
  <c r="K20" i="64"/>
  <c r="K19" i="64"/>
  <c r="K18" i="64"/>
  <c r="K16" i="64"/>
  <c r="K17" i="64"/>
  <c r="K25" i="63"/>
  <c r="K24" i="63"/>
  <c r="K23" i="63"/>
  <c r="K22" i="63"/>
  <c r="K21" i="63"/>
  <c r="K20" i="63"/>
  <c r="K19" i="63"/>
  <c r="K18" i="63"/>
  <c r="K16" i="63"/>
  <c r="K16" i="72" s="1"/>
  <c r="K17" i="63"/>
  <c r="K25" i="60"/>
  <c r="K24" i="60"/>
  <c r="K23" i="60"/>
  <c r="K22" i="60"/>
  <c r="K21" i="60"/>
  <c r="K20" i="60"/>
  <c r="K19" i="60"/>
  <c r="K18" i="60"/>
  <c r="K16" i="60"/>
  <c r="K17" i="72" l="1"/>
  <c r="D14" i="69"/>
  <c r="G14" i="69" s="1"/>
  <c r="C14" i="69"/>
  <c r="B14" i="69"/>
  <c r="D13" i="69"/>
  <c r="G13" i="69" s="1"/>
  <c r="C13" i="69"/>
  <c r="B13" i="69"/>
  <c r="D12" i="69"/>
  <c r="G12" i="69" s="1"/>
  <c r="C12" i="69"/>
  <c r="B12" i="69"/>
  <c r="D11" i="69"/>
  <c r="G11" i="69" s="1"/>
  <c r="C11" i="69"/>
  <c r="B11" i="69"/>
  <c r="D10" i="69"/>
  <c r="G10" i="69" s="1"/>
  <c r="C10" i="69"/>
  <c r="B10" i="69"/>
  <c r="D9" i="69"/>
  <c r="G9" i="69" s="1"/>
  <c r="C9" i="69"/>
  <c r="B9" i="69"/>
  <c r="D8" i="69"/>
  <c r="G8" i="69" s="1"/>
  <c r="C8" i="69"/>
  <c r="B8" i="69"/>
  <c r="D7" i="69"/>
  <c r="G7" i="69" s="1"/>
  <c r="C7" i="69"/>
  <c r="B7" i="69"/>
  <c r="D6" i="69"/>
  <c r="G6" i="69" s="1"/>
  <c r="C6" i="69"/>
  <c r="B6" i="69"/>
  <c r="D5" i="69"/>
  <c r="G5" i="69" s="1"/>
  <c r="C5" i="69"/>
  <c r="B5" i="69"/>
  <c r="D4" i="69"/>
  <c r="G4" i="69" s="1"/>
  <c r="C4" i="69"/>
  <c r="B4" i="69"/>
  <c r="D3" i="69"/>
  <c r="F3" i="69" s="1"/>
  <c r="N18" i="72" s="1"/>
  <c r="C3" i="69"/>
  <c r="B3" i="69"/>
  <c r="H26" i="60"/>
  <c r="C23" i="12"/>
  <c r="G3" i="69" l="1"/>
  <c r="I3" i="69"/>
  <c r="AA18" i="72" s="1"/>
  <c r="U2" i="69"/>
  <c r="V2" i="69" s="1"/>
  <c r="S2" i="69"/>
  <c r="T2" i="69" s="1"/>
  <c r="Q2" i="69"/>
  <c r="R2" i="69" s="1"/>
  <c r="O2" i="69"/>
  <c r="P2" i="69" s="1"/>
  <c r="M2" i="69"/>
  <c r="N2" i="69" s="1"/>
  <c r="K2" i="69"/>
  <c r="L2" i="69" s="1"/>
  <c r="L14" i="72"/>
  <c r="R3" i="69" l="1"/>
  <c r="I15" i="69"/>
  <c r="H24" i="68"/>
  <c r="H16" i="68"/>
  <c r="H19" i="68"/>
  <c r="N15" i="69"/>
  <c r="H23" i="68"/>
  <c r="H20" i="68"/>
  <c r="H26" i="68"/>
  <c r="H17" i="68"/>
  <c r="H22" i="68"/>
  <c r="H21" i="68"/>
  <c r="H18" i="68"/>
  <c r="H25" i="68"/>
  <c r="P15" i="69"/>
  <c r="E15" i="69"/>
  <c r="D15" i="69"/>
  <c r="J14" i="69"/>
  <c r="J13" i="69"/>
  <c r="J12" i="69"/>
  <c r="J11" i="69"/>
  <c r="J10" i="69"/>
  <c r="J9" i="69"/>
  <c r="J8" i="69"/>
  <c r="J7" i="69"/>
  <c r="J6" i="69"/>
  <c r="J5" i="69"/>
  <c r="J4" i="69"/>
  <c r="J3" i="69"/>
  <c r="H15" i="68" l="1"/>
  <c r="L15" i="69"/>
  <c r="Q3" i="69"/>
  <c r="S3" i="69"/>
  <c r="O3" i="69"/>
  <c r="M3" i="69"/>
  <c r="U3" i="69"/>
  <c r="U5" i="69"/>
  <c r="Q5" i="69"/>
  <c r="O5" i="69"/>
  <c r="M5" i="69"/>
  <c r="K5" i="69"/>
  <c r="S5" i="69"/>
  <c r="U7" i="69"/>
  <c r="Q7" i="69"/>
  <c r="O7" i="69"/>
  <c r="M7" i="69"/>
  <c r="K7" i="69"/>
  <c r="S7" i="69"/>
  <c r="U9" i="69"/>
  <c r="Q9" i="69"/>
  <c r="O9" i="69"/>
  <c r="M9" i="69"/>
  <c r="K9" i="69"/>
  <c r="S9" i="69"/>
  <c r="S12" i="69"/>
  <c r="U12" i="69"/>
  <c r="Q12" i="69"/>
  <c r="O12" i="69"/>
  <c r="M12" i="69"/>
  <c r="K12" i="69"/>
  <c r="S4" i="69"/>
  <c r="U4" i="69"/>
  <c r="Q4" i="69"/>
  <c r="O4" i="69"/>
  <c r="M4" i="69"/>
  <c r="K4" i="69"/>
  <c r="S6" i="69"/>
  <c r="U6" i="69"/>
  <c r="Q6" i="69"/>
  <c r="O6" i="69"/>
  <c r="M6" i="69"/>
  <c r="K6" i="69"/>
  <c r="S8" i="69"/>
  <c r="U8" i="69"/>
  <c r="Q8" i="69"/>
  <c r="O8" i="69"/>
  <c r="M8" i="69"/>
  <c r="K8" i="69"/>
  <c r="S10" i="69"/>
  <c r="U10" i="69"/>
  <c r="Q10" i="69"/>
  <c r="O10" i="69"/>
  <c r="M10" i="69"/>
  <c r="K10" i="69"/>
  <c r="U11" i="69"/>
  <c r="Q11" i="69"/>
  <c r="O11" i="69"/>
  <c r="M11" i="69"/>
  <c r="K11" i="69"/>
  <c r="S11" i="69"/>
  <c r="U13" i="69"/>
  <c r="Q13" i="69"/>
  <c r="O13" i="69"/>
  <c r="M13" i="69"/>
  <c r="K13" i="69"/>
  <c r="S13" i="69"/>
  <c r="S14" i="69"/>
  <c r="U14" i="69"/>
  <c r="Q14" i="69"/>
  <c r="O14" i="69"/>
  <c r="M14" i="69"/>
  <c r="K14" i="69"/>
  <c r="F15" i="69"/>
  <c r="AC18" i="72" l="1"/>
  <c r="J17" i="70" s="1"/>
  <c r="T17" i="70" s="1"/>
  <c r="F18" i="72"/>
  <c r="H27" i="68"/>
  <c r="G24" i="68"/>
  <c r="J24" i="68" s="1"/>
  <c r="G22" i="68"/>
  <c r="J22" i="68" s="1"/>
  <c r="G15" i="68"/>
  <c r="P18" i="72" s="1"/>
  <c r="I17" i="70" s="1"/>
  <c r="G25" i="68"/>
  <c r="J25" i="68" s="1"/>
  <c r="G19" i="68"/>
  <c r="J19" i="68" s="1"/>
  <c r="G26" i="68"/>
  <c r="J26" i="68" s="1"/>
  <c r="G20" i="68"/>
  <c r="J20" i="68" s="1"/>
  <c r="G16" i="68"/>
  <c r="J16" i="68" s="1"/>
  <c r="G18" i="68"/>
  <c r="J18" i="68" s="1"/>
  <c r="G23" i="68"/>
  <c r="J23" i="68" s="1"/>
  <c r="G21" i="68"/>
  <c r="J21" i="68" s="1"/>
  <c r="G17" i="68"/>
  <c r="J17" i="68" s="1"/>
  <c r="V15" i="69"/>
  <c r="T15" i="69"/>
  <c r="R15" i="69"/>
  <c r="U15" i="69"/>
  <c r="Q15" i="69"/>
  <c r="M15" i="69"/>
  <c r="K15" i="69"/>
  <c r="S15" i="69"/>
  <c r="O15" i="69"/>
  <c r="S17" i="70" l="1"/>
  <c r="J15" i="68"/>
  <c r="G27" i="68"/>
  <c r="N16" i="68"/>
  <c r="N17" i="68"/>
  <c r="N18" i="68"/>
  <c r="N19" i="68"/>
  <c r="N20" i="68"/>
  <c r="N21" i="68"/>
  <c r="N22" i="68"/>
  <c r="N23" i="68"/>
  <c r="N24" i="68"/>
  <c r="N25" i="68"/>
  <c r="N26" i="68"/>
  <c r="N15" i="68"/>
  <c r="J18" i="72" l="1"/>
  <c r="M15" i="68"/>
  <c r="L18" i="72" s="1"/>
  <c r="I16" i="70"/>
  <c r="S16" i="70" s="1"/>
  <c r="AD18" i="71"/>
  <c r="I18" i="70"/>
  <c r="L15" i="68"/>
  <c r="K18" i="72" s="1"/>
  <c r="O17" i="70" s="1"/>
  <c r="F27" i="68"/>
  <c r="E27" i="68"/>
  <c r="Z26" i="68"/>
  <c r="X25" i="68"/>
  <c r="Y24" i="68"/>
  <c r="P23" i="68"/>
  <c r="Z22" i="68"/>
  <c r="X21" i="68"/>
  <c r="Y20" i="68"/>
  <c r="Z19" i="68"/>
  <c r="Z18" i="68"/>
  <c r="X17" i="68"/>
  <c r="Y16" i="68"/>
  <c r="Z15" i="68"/>
  <c r="Y15" i="68"/>
  <c r="T15" i="68"/>
  <c r="S15" i="68"/>
  <c r="R15" i="68"/>
  <c r="Q15" i="68"/>
  <c r="Y14" i="68"/>
  <c r="W14" i="68"/>
  <c r="U14" i="68"/>
  <c r="S14" i="68"/>
  <c r="Q14" i="68"/>
  <c r="O14" i="68"/>
  <c r="J8" i="68"/>
  <c r="F8" i="68"/>
  <c r="E7" i="68"/>
  <c r="W25" i="66"/>
  <c r="V25" i="66"/>
  <c r="W24" i="66"/>
  <c r="V24" i="66"/>
  <c r="W23" i="66"/>
  <c r="V23" i="66"/>
  <c r="W22" i="66"/>
  <c r="V22" i="66"/>
  <c r="W21" i="66"/>
  <c r="V21" i="66"/>
  <c r="W20" i="66"/>
  <c r="V20" i="66"/>
  <c r="W19" i="66"/>
  <c r="V19" i="66"/>
  <c r="W18" i="66"/>
  <c r="V18" i="66"/>
  <c r="W17" i="66"/>
  <c r="V17" i="66"/>
  <c r="W16" i="66"/>
  <c r="V16" i="66"/>
  <c r="W15" i="66"/>
  <c r="V15" i="66"/>
  <c r="W14" i="66"/>
  <c r="V14" i="66"/>
  <c r="W25" i="65"/>
  <c r="V25" i="65"/>
  <c r="W24" i="65"/>
  <c r="V24" i="65"/>
  <c r="W23" i="65"/>
  <c r="V23" i="65"/>
  <c r="W22" i="65"/>
  <c r="V22" i="65"/>
  <c r="W21" i="65"/>
  <c r="V21" i="65"/>
  <c r="W20" i="65"/>
  <c r="V20" i="65"/>
  <c r="W19" i="65"/>
  <c r="V19" i="65"/>
  <c r="W18" i="65"/>
  <c r="V18" i="65"/>
  <c r="W17" i="65"/>
  <c r="V17" i="65"/>
  <c r="W16" i="65"/>
  <c r="V16" i="65"/>
  <c r="W15" i="65"/>
  <c r="V15" i="65"/>
  <c r="W14" i="65"/>
  <c r="V14" i="65"/>
  <c r="W25" i="3"/>
  <c r="V25" i="3"/>
  <c r="W24" i="3"/>
  <c r="V24" i="3"/>
  <c r="W23" i="3"/>
  <c r="V23" i="3"/>
  <c r="W22" i="3"/>
  <c r="V22" i="3"/>
  <c r="W21" i="3"/>
  <c r="V21" i="3"/>
  <c r="W20" i="3"/>
  <c r="V20" i="3"/>
  <c r="W19" i="3"/>
  <c r="V19" i="3"/>
  <c r="W18" i="3"/>
  <c r="V18" i="3"/>
  <c r="W17" i="3"/>
  <c r="V17" i="3"/>
  <c r="W16" i="3"/>
  <c r="V16" i="3"/>
  <c r="W15" i="3"/>
  <c r="V15" i="3"/>
  <c r="W14" i="3"/>
  <c r="V14" i="3"/>
  <c r="W25" i="64"/>
  <c r="V25" i="64"/>
  <c r="W24" i="64"/>
  <c r="V24" i="64"/>
  <c r="W23" i="64"/>
  <c r="V23" i="64"/>
  <c r="W22" i="64"/>
  <c r="V22" i="64"/>
  <c r="W21" i="64"/>
  <c r="V21" i="64"/>
  <c r="W20" i="64"/>
  <c r="V20" i="64"/>
  <c r="W19" i="64"/>
  <c r="V19" i="64"/>
  <c r="W18" i="64"/>
  <c r="V18" i="64"/>
  <c r="W17" i="64"/>
  <c r="V17" i="64"/>
  <c r="W16" i="64"/>
  <c r="V16" i="64"/>
  <c r="W15" i="64"/>
  <c r="V15" i="64"/>
  <c r="W14" i="64"/>
  <c r="V14" i="64"/>
  <c r="W25" i="63"/>
  <c r="V25" i="63"/>
  <c r="W24" i="63"/>
  <c r="V24" i="63"/>
  <c r="W23" i="63"/>
  <c r="V23" i="63"/>
  <c r="W22" i="63"/>
  <c r="V22" i="63"/>
  <c r="W21" i="63"/>
  <c r="V21" i="63"/>
  <c r="W20" i="63"/>
  <c r="V20" i="63"/>
  <c r="W19" i="63"/>
  <c r="V19" i="63"/>
  <c r="W18" i="63"/>
  <c r="V18" i="63"/>
  <c r="W17" i="63"/>
  <c r="V17" i="63"/>
  <c r="W16" i="63"/>
  <c r="V16" i="63"/>
  <c r="W15" i="63"/>
  <c r="V15" i="63"/>
  <c r="W14" i="63"/>
  <c r="V14" i="63"/>
  <c r="R17" i="70" l="1"/>
  <c r="Q17" i="70"/>
  <c r="S18" i="70"/>
  <c r="S27" i="70" s="1"/>
  <c r="O18" i="70"/>
  <c r="R18" i="70" s="1"/>
  <c r="U27" i="70"/>
  <c r="I27" i="70"/>
  <c r="R16" i="68"/>
  <c r="Z23" i="68"/>
  <c r="P19" i="68"/>
  <c r="T18" i="68"/>
  <c r="P18" i="68"/>
  <c r="W18" i="68"/>
  <c r="W19" i="68"/>
  <c r="P22" i="68"/>
  <c r="W22" i="68"/>
  <c r="W23" i="68"/>
  <c r="P26" i="68"/>
  <c r="W26" i="68"/>
  <c r="Q18" i="68"/>
  <c r="Y18" i="68"/>
  <c r="O19" i="68"/>
  <c r="X19" i="68"/>
  <c r="Q22" i="68"/>
  <c r="Y22" i="68"/>
  <c r="O23" i="68"/>
  <c r="X23" i="68"/>
  <c r="Q26" i="68"/>
  <c r="Y26" i="68"/>
  <c r="T22" i="68"/>
  <c r="T26" i="68"/>
  <c r="O18" i="68"/>
  <c r="U18" i="68"/>
  <c r="S19" i="68"/>
  <c r="O22" i="68"/>
  <c r="U22" i="68"/>
  <c r="S23" i="68"/>
  <c r="O26" i="68"/>
  <c r="U26" i="68"/>
  <c r="Q17" i="68"/>
  <c r="Q21" i="68"/>
  <c r="Y17" i="68"/>
  <c r="S18" i="68"/>
  <c r="X18" i="68"/>
  <c r="T19" i="68"/>
  <c r="Y21" i="68"/>
  <c r="S22" i="68"/>
  <c r="X22" i="68"/>
  <c r="T23" i="68"/>
  <c r="Y25" i="68"/>
  <c r="S26" i="68"/>
  <c r="X26" i="68"/>
  <c r="Q25" i="68"/>
  <c r="U17" i="68"/>
  <c r="U21" i="68"/>
  <c r="U25" i="68"/>
  <c r="P16" i="68"/>
  <c r="W15" i="68"/>
  <c r="P15" i="68"/>
  <c r="V16" i="68"/>
  <c r="Z16" i="68"/>
  <c r="R20" i="68"/>
  <c r="Z20" i="68"/>
  <c r="R24" i="68"/>
  <c r="O16" i="68"/>
  <c r="S16" i="68"/>
  <c r="W16" i="68"/>
  <c r="R17" i="68"/>
  <c r="O20" i="68"/>
  <c r="R21" i="68"/>
  <c r="V21" i="68"/>
  <c r="Z21" i="68"/>
  <c r="O24" i="68"/>
  <c r="S24" i="68"/>
  <c r="W24" i="68"/>
  <c r="R25" i="68"/>
  <c r="V25" i="68"/>
  <c r="Z25" i="68"/>
  <c r="J27" i="68"/>
  <c r="T16" i="68"/>
  <c r="X16" i="68"/>
  <c r="O17" i="68"/>
  <c r="S17" i="68"/>
  <c r="W17" i="68"/>
  <c r="R18" i="68"/>
  <c r="V18" i="68"/>
  <c r="Q19" i="68"/>
  <c r="U19" i="68"/>
  <c r="Y19" i="68"/>
  <c r="P20" i="68"/>
  <c r="T20" i="68"/>
  <c r="X20" i="68"/>
  <c r="O21" i="68"/>
  <c r="S21" i="68"/>
  <c r="W21" i="68"/>
  <c r="R22" i="68"/>
  <c r="V22" i="68"/>
  <c r="Q23" i="68"/>
  <c r="U23" i="68"/>
  <c r="Y23" i="68"/>
  <c r="P24" i="68"/>
  <c r="T24" i="68"/>
  <c r="X24" i="68"/>
  <c r="O25" i="68"/>
  <c r="S25" i="68"/>
  <c r="W25" i="68"/>
  <c r="R26" i="68"/>
  <c r="V26" i="68"/>
  <c r="V20" i="68"/>
  <c r="V24" i="68"/>
  <c r="Z24" i="68"/>
  <c r="V17" i="68"/>
  <c r="Z17" i="68"/>
  <c r="S20" i="68"/>
  <c r="W20" i="68"/>
  <c r="Q16" i="68"/>
  <c r="U16" i="68"/>
  <c r="P17" i="68"/>
  <c r="T17" i="68"/>
  <c r="R19" i="68"/>
  <c r="V19" i="68"/>
  <c r="Q20" i="68"/>
  <c r="U20" i="68"/>
  <c r="P21" i="68"/>
  <c r="T21" i="68"/>
  <c r="R23" i="68"/>
  <c r="V23" i="68"/>
  <c r="Q24" i="68"/>
  <c r="U24" i="68"/>
  <c r="P25" i="68"/>
  <c r="T25" i="68"/>
  <c r="Q18" i="70" l="1"/>
  <c r="AC18" i="71"/>
  <c r="L27" i="68"/>
  <c r="U15" i="68"/>
  <c r="U27" i="68" s="1"/>
  <c r="O15" i="68"/>
  <c r="O27" i="68" s="1"/>
  <c r="X15" i="68"/>
  <c r="X27" i="68" s="1"/>
  <c r="V15" i="68"/>
  <c r="V27" i="68" s="1"/>
  <c r="Y27" i="68"/>
  <c r="Z27" i="68"/>
  <c r="Q27" i="68"/>
  <c r="R27" i="68"/>
  <c r="S27" i="68"/>
  <c r="T27" i="68"/>
  <c r="P27" i="68"/>
  <c r="M27" i="68"/>
  <c r="W27" i="68"/>
  <c r="M155" i="1"/>
  <c r="M150" i="1"/>
  <c r="D8" i="66"/>
  <c r="D8" i="65"/>
  <c r="D9" i="3"/>
  <c r="D9" i="64"/>
  <c r="X26" i="66"/>
  <c r="U26" i="66"/>
  <c r="Q26" i="66"/>
  <c r="O26" i="66"/>
  <c r="M26" i="66"/>
  <c r="D26" i="66"/>
  <c r="N25" i="66"/>
  <c r="P25" i="66" s="1"/>
  <c r="N24" i="66"/>
  <c r="P24" i="66" s="1"/>
  <c r="N23" i="66"/>
  <c r="P23" i="66" s="1"/>
  <c r="N22" i="66"/>
  <c r="P22" i="66" s="1"/>
  <c r="N21" i="66"/>
  <c r="P21" i="66" s="1"/>
  <c r="N20" i="66"/>
  <c r="P20" i="66" s="1"/>
  <c r="N19" i="66"/>
  <c r="P19" i="66" s="1"/>
  <c r="N18" i="66"/>
  <c r="P18" i="66" s="1"/>
  <c r="N17" i="66"/>
  <c r="P17" i="66" s="1"/>
  <c r="N16" i="66"/>
  <c r="P16" i="66" s="1"/>
  <c r="E16" i="66" s="1"/>
  <c r="N15" i="66"/>
  <c r="N14" i="66"/>
  <c r="P14" i="66" s="1"/>
  <c r="X26" i="65"/>
  <c r="U26" i="65"/>
  <c r="Q26" i="65"/>
  <c r="O26" i="65"/>
  <c r="M26" i="65"/>
  <c r="D26" i="65"/>
  <c r="N25" i="65"/>
  <c r="P25" i="65" s="1"/>
  <c r="N24" i="65"/>
  <c r="P24" i="65" s="1"/>
  <c r="N23" i="65"/>
  <c r="P23" i="65" s="1"/>
  <c r="P22" i="65"/>
  <c r="N22" i="65"/>
  <c r="N21" i="65"/>
  <c r="P21" i="65" s="1"/>
  <c r="N20" i="65"/>
  <c r="P20" i="65" s="1"/>
  <c r="N19" i="65"/>
  <c r="P19" i="65" s="1"/>
  <c r="N18" i="65"/>
  <c r="P18" i="65" s="1"/>
  <c r="N17" i="65"/>
  <c r="P17" i="65" s="1"/>
  <c r="N16" i="65"/>
  <c r="P16" i="65" s="1"/>
  <c r="N15" i="65"/>
  <c r="N14" i="65"/>
  <c r="P14" i="65" s="1"/>
  <c r="X26" i="3"/>
  <c r="U26" i="3"/>
  <c r="Q26" i="3"/>
  <c r="O26" i="3"/>
  <c r="M26" i="3"/>
  <c r="D26" i="3"/>
  <c r="N25" i="3"/>
  <c r="P25" i="3" s="1"/>
  <c r="N24" i="3"/>
  <c r="P24" i="3" s="1"/>
  <c r="N23" i="3"/>
  <c r="P23" i="3" s="1"/>
  <c r="N22" i="3"/>
  <c r="P22" i="3" s="1"/>
  <c r="N21" i="3"/>
  <c r="P21" i="3" s="1"/>
  <c r="N20" i="3"/>
  <c r="P20" i="3" s="1"/>
  <c r="N19" i="3"/>
  <c r="P19" i="3" s="1"/>
  <c r="N18" i="3"/>
  <c r="P18" i="3" s="1"/>
  <c r="N17" i="3"/>
  <c r="P17" i="3" s="1"/>
  <c r="N16" i="3"/>
  <c r="P16" i="3" s="1"/>
  <c r="N15" i="3"/>
  <c r="N14" i="3"/>
  <c r="P14" i="3" s="1"/>
  <c r="X26" i="64"/>
  <c r="U26" i="64"/>
  <c r="Q26" i="64"/>
  <c r="O26" i="64"/>
  <c r="M26" i="64"/>
  <c r="D26" i="64"/>
  <c r="N25" i="64"/>
  <c r="P25" i="64" s="1"/>
  <c r="N24" i="64"/>
  <c r="P24" i="64" s="1"/>
  <c r="N23" i="64"/>
  <c r="P23" i="64" s="1"/>
  <c r="N22" i="64"/>
  <c r="P22" i="64" s="1"/>
  <c r="N21" i="64"/>
  <c r="P21" i="64" s="1"/>
  <c r="N20" i="64"/>
  <c r="P20" i="64" s="1"/>
  <c r="N19" i="64"/>
  <c r="P19" i="64" s="1"/>
  <c r="N18" i="64"/>
  <c r="P18" i="64" s="1"/>
  <c r="N17" i="64"/>
  <c r="P17" i="64" s="1"/>
  <c r="E17" i="64" s="1"/>
  <c r="N16" i="64"/>
  <c r="P16" i="64" s="1"/>
  <c r="N15" i="64"/>
  <c r="P15" i="64" s="1"/>
  <c r="V26" i="64"/>
  <c r="N14" i="64"/>
  <c r="X26" i="63"/>
  <c r="U26" i="63"/>
  <c r="Q26" i="63"/>
  <c r="O26" i="63"/>
  <c r="M26" i="63"/>
  <c r="D26" i="63"/>
  <c r="N25" i="63"/>
  <c r="P25" i="63" s="1"/>
  <c r="N24" i="63"/>
  <c r="P24" i="63" s="1"/>
  <c r="N23" i="63"/>
  <c r="P23" i="63" s="1"/>
  <c r="N22" i="63"/>
  <c r="P22" i="63" s="1"/>
  <c r="N21" i="63"/>
  <c r="P21" i="63" s="1"/>
  <c r="N20" i="63"/>
  <c r="P20" i="63" s="1"/>
  <c r="N19" i="63"/>
  <c r="P19" i="63" s="1"/>
  <c r="N18" i="63"/>
  <c r="P18" i="63" s="1"/>
  <c r="N17" i="63"/>
  <c r="N16" i="63"/>
  <c r="P16" i="63" s="1"/>
  <c r="N15" i="63"/>
  <c r="P15" i="63" s="1"/>
  <c r="N14" i="63"/>
  <c r="N18" i="60"/>
  <c r="N19" i="60"/>
  <c r="N20" i="60"/>
  <c r="N21" i="60"/>
  <c r="N22" i="60"/>
  <c r="N23" i="60"/>
  <c r="N24" i="60"/>
  <c r="N25" i="60"/>
  <c r="N15" i="60"/>
  <c r="N16" i="60"/>
  <c r="N17" i="60"/>
  <c r="N14" i="60"/>
  <c r="C19" i="12"/>
  <c r="P17" i="63" l="1"/>
  <c r="N17" i="72"/>
  <c r="N26" i="72" s="1"/>
  <c r="R17" i="66"/>
  <c r="S17" i="66" s="1"/>
  <c r="T17" i="66" s="1"/>
  <c r="R19" i="66"/>
  <c r="S19" i="66" s="1"/>
  <c r="T19" i="66" s="1"/>
  <c r="R21" i="66"/>
  <c r="S21" i="66" s="1"/>
  <c r="T21" i="66" s="1"/>
  <c r="R24" i="66"/>
  <c r="S24" i="66" s="1"/>
  <c r="T24" i="66" s="1"/>
  <c r="R14" i="66"/>
  <c r="S14" i="66" s="1"/>
  <c r="T14" i="66" s="1"/>
  <c r="R16" i="66"/>
  <c r="S16" i="66" s="1"/>
  <c r="T16" i="66" s="1"/>
  <c r="R22" i="66"/>
  <c r="S22" i="66" s="1"/>
  <c r="T22" i="66" s="1"/>
  <c r="R23" i="66"/>
  <c r="S23" i="66" s="1"/>
  <c r="T23" i="66" s="1"/>
  <c r="R25" i="66"/>
  <c r="S25" i="66" s="1"/>
  <c r="T25" i="66" s="1"/>
  <c r="R14" i="65"/>
  <c r="S14" i="65" s="1"/>
  <c r="T14" i="65" s="1"/>
  <c r="R18" i="65"/>
  <c r="S18" i="65" s="1"/>
  <c r="T18" i="65" s="1"/>
  <c r="R20" i="65"/>
  <c r="S20" i="65" s="1"/>
  <c r="T20" i="65" s="1"/>
  <c r="R21" i="65"/>
  <c r="S21" i="65" s="1"/>
  <c r="T21" i="65" s="1"/>
  <c r="R22" i="65"/>
  <c r="S22" i="65" s="1"/>
  <c r="T22" i="65" s="1"/>
  <c r="R17" i="65"/>
  <c r="S17" i="65" s="1"/>
  <c r="T17" i="65" s="1"/>
  <c r="R19" i="65"/>
  <c r="S19" i="65" s="1"/>
  <c r="T19" i="65" s="1"/>
  <c r="R23" i="65"/>
  <c r="S23" i="65" s="1"/>
  <c r="T23" i="65" s="1"/>
  <c r="R25" i="65"/>
  <c r="S25" i="65" s="1"/>
  <c r="T25" i="65" s="1"/>
  <c r="R17" i="3"/>
  <c r="S17" i="3" s="1"/>
  <c r="T17" i="3" s="1"/>
  <c r="R19" i="3"/>
  <c r="S19" i="3" s="1"/>
  <c r="T19" i="3" s="1"/>
  <c r="R21" i="3"/>
  <c r="S21" i="3" s="1"/>
  <c r="T21" i="3" s="1"/>
  <c r="R23" i="3"/>
  <c r="S23" i="3" s="1"/>
  <c r="T23" i="3" s="1"/>
  <c r="R25" i="3"/>
  <c r="S25" i="3" s="1"/>
  <c r="T25" i="3" s="1"/>
  <c r="R14" i="3"/>
  <c r="R18" i="3"/>
  <c r="S18" i="3" s="1"/>
  <c r="T18" i="3" s="1"/>
  <c r="R20" i="3"/>
  <c r="S20" i="3" s="1"/>
  <c r="T20" i="3" s="1"/>
  <c r="R22" i="3"/>
  <c r="S22" i="3" s="1"/>
  <c r="T22" i="3" s="1"/>
  <c r="R16" i="64"/>
  <c r="S16" i="64" s="1"/>
  <c r="T16" i="64" s="1"/>
  <c r="R20" i="64"/>
  <c r="S20" i="64" s="1"/>
  <c r="T20" i="64" s="1"/>
  <c r="R24" i="64"/>
  <c r="S24" i="64" s="1"/>
  <c r="T24" i="64" s="1"/>
  <c r="R15" i="64"/>
  <c r="S15" i="64" s="1"/>
  <c r="T15" i="64" s="1"/>
  <c r="R17" i="64"/>
  <c r="S17" i="64" s="1"/>
  <c r="T17" i="64" s="1"/>
  <c r="R19" i="64"/>
  <c r="S19" i="64" s="1"/>
  <c r="T19" i="64" s="1"/>
  <c r="R21" i="64"/>
  <c r="S21" i="64" s="1"/>
  <c r="T21" i="64" s="1"/>
  <c r="R23" i="64"/>
  <c r="S23" i="64" s="1"/>
  <c r="T23" i="64" s="1"/>
  <c r="R25" i="64"/>
  <c r="S25" i="64" s="1"/>
  <c r="T25" i="64" s="1"/>
  <c r="R16" i="63"/>
  <c r="S16" i="63" s="1"/>
  <c r="T16" i="63" s="1"/>
  <c r="R18" i="63"/>
  <c r="S18" i="63" s="1"/>
  <c r="T18" i="63" s="1"/>
  <c r="R20" i="63"/>
  <c r="S20" i="63" s="1"/>
  <c r="T20" i="63" s="1"/>
  <c r="R22" i="63"/>
  <c r="S22" i="63" s="1"/>
  <c r="T22" i="63" s="1"/>
  <c r="R24" i="63"/>
  <c r="S24" i="63" s="1"/>
  <c r="T24" i="63" s="1"/>
  <c r="R15" i="63"/>
  <c r="S15" i="63" s="1"/>
  <c r="T15" i="63" s="1"/>
  <c r="R17" i="63"/>
  <c r="R19" i="63"/>
  <c r="S19" i="63" s="1"/>
  <c r="T19" i="63" s="1"/>
  <c r="R21" i="63"/>
  <c r="S21" i="63" s="1"/>
  <c r="T21" i="63" s="1"/>
  <c r="R23" i="63"/>
  <c r="S23" i="63" s="1"/>
  <c r="T23" i="63" s="1"/>
  <c r="R25" i="63"/>
  <c r="S25" i="63" s="1"/>
  <c r="T25" i="63" s="1"/>
  <c r="AA24" i="3"/>
  <c r="AA21" i="64"/>
  <c r="W26" i="66"/>
  <c r="AD26" i="66" s="1"/>
  <c r="N26" i="66"/>
  <c r="M139" i="1" s="1"/>
  <c r="N26" i="65"/>
  <c r="M138" i="1" s="1"/>
  <c r="N26" i="3"/>
  <c r="M137" i="1" s="1"/>
  <c r="W26" i="3"/>
  <c r="AD26" i="3" s="1"/>
  <c r="N26" i="64"/>
  <c r="D139" i="1" s="1"/>
  <c r="N26" i="63"/>
  <c r="D138" i="1" s="1"/>
  <c r="R18" i="66"/>
  <c r="S18" i="66" s="1"/>
  <c r="T18" i="66" s="1"/>
  <c r="AA18" i="66"/>
  <c r="R20" i="66"/>
  <c r="S20" i="66" s="1"/>
  <c r="T20" i="66" s="1"/>
  <c r="V26" i="66"/>
  <c r="R24" i="65"/>
  <c r="S24" i="65" s="1"/>
  <c r="T24" i="65" s="1"/>
  <c r="AA24" i="65"/>
  <c r="R16" i="65"/>
  <c r="S16" i="65" s="1"/>
  <c r="T16" i="65" s="1"/>
  <c r="V26" i="65"/>
  <c r="W26" i="65"/>
  <c r="AD26" i="65" s="1"/>
  <c r="R16" i="3"/>
  <c r="S16" i="3" s="1"/>
  <c r="T16" i="3" s="1"/>
  <c r="R24" i="3"/>
  <c r="S24" i="3" s="1"/>
  <c r="T24" i="3" s="1"/>
  <c r="V26" i="3"/>
  <c r="R18" i="64"/>
  <c r="S18" i="64" s="1"/>
  <c r="T18" i="64" s="1"/>
  <c r="AA18" i="64"/>
  <c r="R22" i="64"/>
  <c r="S22" i="64" s="1"/>
  <c r="T22" i="64" s="1"/>
  <c r="W26" i="64"/>
  <c r="AD26" i="64" s="1"/>
  <c r="P14" i="64"/>
  <c r="V26" i="63"/>
  <c r="W26" i="63"/>
  <c r="P15" i="66"/>
  <c r="P15" i="65"/>
  <c r="S14" i="3"/>
  <c r="T14" i="3" s="1"/>
  <c r="P15" i="3"/>
  <c r="AA18" i="63"/>
  <c r="P14" i="63"/>
  <c r="P17" i="72" l="1"/>
  <c r="P26" i="72" s="1"/>
  <c r="E17" i="63"/>
  <c r="S17" i="63"/>
  <c r="R17" i="72"/>
  <c r="R26" i="72" s="1"/>
  <c r="AA16" i="66"/>
  <c r="AA16" i="64"/>
  <c r="AA16" i="63"/>
  <c r="E26" i="63"/>
  <c r="AB24" i="65"/>
  <c r="AC24" i="65"/>
  <c r="F24" i="65" s="1"/>
  <c r="AB18" i="66"/>
  <c r="AC18" i="66"/>
  <c r="F18" i="66" s="1"/>
  <c r="AB24" i="3"/>
  <c r="AC24" i="3"/>
  <c r="F24" i="3" s="1"/>
  <c r="AB18" i="63"/>
  <c r="AC18" i="63"/>
  <c r="AB18" i="64"/>
  <c r="AC18" i="64"/>
  <c r="AB21" i="64"/>
  <c r="AC21" i="64"/>
  <c r="R15" i="66"/>
  <c r="S15" i="66" s="1"/>
  <c r="T15" i="66" s="1"/>
  <c r="T26" i="66" s="1"/>
  <c r="M134" i="1" s="1"/>
  <c r="AA20" i="66"/>
  <c r="AA22" i="66"/>
  <c r="AA19" i="66"/>
  <c r="AA23" i="66"/>
  <c r="AA25" i="66"/>
  <c r="AA25" i="65"/>
  <c r="AA23" i="65"/>
  <c r="AA19" i="65"/>
  <c r="AA22" i="65"/>
  <c r="AA20" i="65"/>
  <c r="R15" i="65"/>
  <c r="S15" i="65" s="1"/>
  <c r="T15" i="65" s="1"/>
  <c r="T26" i="65" s="1"/>
  <c r="M133" i="1" s="1"/>
  <c r="AA22" i="3"/>
  <c r="AA25" i="3"/>
  <c r="AA23" i="3"/>
  <c r="AA20" i="3"/>
  <c r="AA19" i="3"/>
  <c r="P26" i="3"/>
  <c r="M142" i="1" s="1"/>
  <c r="AA25" i="64"/>
  <c r="AA19" i="64"/>
  <c r="AA23" i="64"/>
  <c r="AA20" i="64"/>
  <c r="P26" i="64"/>
  <c r="D144" i="1" s="1"/>
  <c r="AA22" i="64"/>
  <c r="AA25" i="63"/>
  <c r="AA23" i="63"/>
  <c r="AA22" i="63"/>
  <c r="AA20" i="63"/>
  <c r="AA19" i="63"/>
  <c r="AA17" i="66"/>
  <c r="AA16" i="65"/>
  <c r="AA17" i="65"/>
  <c r="AA16" i="3"/>
  <c r="AA17" i="3"/>
  <c r="AA17" i="64"/>
  <c r="AA17" i="63"/>
  <c r="AA15" i="63"/>
  <c r="R15" i="3"/>
  <c r="R14" i="64"/>
  <c r="AD26" i="63"/>
  <c r="P26" i="66"/>
  <c r="M144" i="1" s="1"/>
  <c r="P26" i="65"/>
  <c r="M143" i="1" s="1"/>
  <c r="R14" i="63"/>
  <c r="P26" i="63"/>
  <c r="D143" i="1" s="1"/>
  <c r="O26" i="60"/>
  <c r="M52" i="1" s="1"/>
  <c r="T16" i="71" l="1"/>
  <c r="AD16" i="71" s="1"/>
  <c r="AD27" i="71" s="1"/>
  <c r="E17" i="72"/>
  <c r="AA17" i="72"/>
  <c r="T17" i="63"/>
  <c r="T17" i="72" s="1"/>
  <c r="S17" i="72"/>
  <c r="S26" i="72" s="1"/>
  <c r="F21" i="64"/>
  <c r="F18" i="64"/>
  <c r="F18" i="63"/>
  <c r="R26" i="66"/>
  <c r="S26" i="66"/>
  <c r="M129" i="1" s="1"/>
  <c r="S26" i="65"/>
  <c r="M128" i="1" s="1"/>
  <c r="E26" i="66"/>
  <c r="E26" i="65"/>
  <c r="E26" i="3"/>
  <c r="E26" i="64"/>
  <c r="AB19" i="3"/>
  <c r="AC19" i="3"/>
  <c r="F19" i="3" s="1"/>
  <c r="AB20" i="3"/>
  <c r="AC20" i="3"/>
  <c r="F20" i="3" s="1"/>
  <c r="AB23" i="3"/>
  <c r="AC23" i="3"/>
  <c r="F23" i="3" s="1"/>
  <c r="AB25" i="3"/>
  <c r="AC25" i="3"/>
  <c r="F25" i="3" s="1"/>
  <c r="AB22" i="3"/>
  <c r="AC22" i="3"/>
  <c r="F22" i="3" s="1"/>
  <c r="AB20" i="65"/>
  <c r="AC20" i="65"/>
  <c r="F20" i="65" s="1"/>
  <c r="AB22" i="65"/>
  <c r="AC22" i="65"/>
  <c r="F22" i="65" s="1"/>
  <c r="AB19" i="65"/>
  <c r="AC19" i="65"/>
  <c r="F19" i="65" s="1"/>
  <c r="AB23" i="65"/>
  <c r="AC23" i="65"/>
  <c r="F23" i="65" s="1"/>
  <c r="AB25" i="65"/>
  <c r="AC25" i="65"/>
  <c r="F25" i="65" s="1"/>
  <c r="AB25" i="66"/>
  <c r="AC25" i="66"/>
  <c r="F25" i="66" s="1"/>
  <c r="AB23" i="66"/>
  <c r="AC23" i="66"/>
  <c r="F23" i="66" s="1"/>
  <c r="AB19" i="66"/>
  <c r="AC19" i="66"/>
  <c r="F19" i="66" s="1"/>
  <c r="AB22" i="66"/>
  <c r="AC22" i="66"/>
  <c r="F22" i="66" s="1"/>
  <c r="AB20" i="66"/>
  <c r="AC20" i="66"/>
  <c r="F20" i="66" s="1"/>
  <c r="AB19" i="63"/>
  <c r="AC19" i="63"/>
  <c r="AB20" i="63"/>
  <c r="AC20" i="63"/>
  <c r="AB22" i="63"/>
  <c r="AC22" i="63"/>
  <c r="AB23" i="63"/>
  <c r="AC23" i="63"/>
  <c r="AB25" i="63"/>
  <c r="AC25" i="63"/>
  <c r="AB22" i="64"/>
  <c r="AC22" i="64"/>
  <c r="AB20" i="64"/>
  <c r="AC20" i="64"/>
  <c r="AB23" i="64"/>
  <c r="AC23" i="64"/>
  <c r="AB19" i="64"/>
  <c r="AC19" i="64"/>
  <c r="AB25" i="64"/>
  <c r="AC25" i="64"/>
  <c r="AB17" i="66"/>
  <c r="AC17" i="66"/>
  <c r="F17" i="66" s="1"/>
  <c r="AB16" i="66"/>
  <c r="AC16" i="66"/>
  <c r="F16" i="66" s="1"/>
  <c r="AB17" i="65"/>
  <c r="AC17" i="65"/>
  <c r="F17" i="65" s="1"/>
  <c r="R26" i="65"/>
  <c r="AB16" i="65"/>
  <c r="AC16" i="65"/>
  <c r="F16" i="65" s="1"/>
  <c r="AB17" i="3"/>
  <c r="AC17" i="3"/>
  <c r="F17" i="3" s="1"/>
  <c r="AB16" i="3"/>
  <c r="AC16" i="3"/>
  <c r="F16" i="3" s="1"/>
  <c r="AB16" i="64"/>
  <c r="AC16" i="64"/>
  <c r="F16" i="64" s="1"/>
  <c r="AB17" i="64"/>
  <c r="AC17" i="64"/>
  <c r="AB16" i="63"/>
  <c r="AC16" i="63"/>
  <c r="F16" i="63" s="1"/>
  <c r="AB15" i="63"/>
  <c r="AC15" i="63"/>
  <c r="AB17" i="63"/>
  <c r="AC17" i="63"/>
  <c r="S15" i="3"/>
  <c r="T15" i="3" s="1"/>
  <c r="R26" i="3"/>
  <c r="R26" i="64"/>
  <c r="S14" i="64"/>
  <c r="T14" i="64" s="1"/>
  <c r="R26" i="63"/>
  <c r="S14" i="63"/>
  <c r="T14" i="63" s="1"/>
  <c r="T27" i="71" l="1"/>
  <c r="AB17" i="72"/>
  <c r="AH16" i="71" s="1"/>
  <c r="AH27" i="71" s="1"/>
  <c r="AF16" i="71"/>
  <c r="AF27" i="71" s="1"/>
  <c r="T26" i="72"/>
  <c r="AC17" i="72"/>
  <c r="U16" i="71" s="1"/>
  <c r="F17" i="72"/>
  <c r="F22" i="64"/>
  <c r="F20" i="64"/>
  <c r="F25" i="64"/>
  <c r="F23" i="64"/>
  <c r="F19" i="64"/>
  <c r="F17" i="64"/>
  <c r="J17" i="64" s="1"/>
  <c r="L17" i="64" s="1"/>
  <c r="F15" i="63"/>
  <c r="F17" i="63"/>
  <c r="J17" i="63" s="1"/>
  <c r="L17" i="63" s="1"/>
  <c r="F25" i="63"/>
  <c r="F22" i="63"/>
  <c r="F19" i="63"/>
  <c r="F23" i="63"/>
  <c r="F20" i="63"/>
  <c r="AA14" i="66"/>
  <c r="AC14" i="66" s="1"/>
  <c r="F14" i="66" s="1"/>
  <c r="AA14" i="65"/>
  <c r="AC14" i="65" s="1"/>
  <c r="F14" i="65" s="1"/>
  <c r="AA14" i="3"/>
  <c r="AC14" i="3" s="1"/>
  <c r="F14" i="3" s="1"/>
  <c r="Y26" i="63"/>
  <c r="T26" i="3"/>
  <c r="M132" i="1" s="1"/>
  <c r="S26" i="3"/>
  <c r="M127" i="1" s="1"/>
  <c r="S26" i="64"/>
  <c r="D129" i="1" s="1"/>
  <c r="T26" i="64"/>
  <c r="D134" i="1" s="1"/>
  <c r="S26" i="63"/>
  <c r="D128" i="1" s="1"/>
  <c r="T26" i="63"/>
  <c r="D133" i="1" s="1"/>
  <c r="AE16" i="71" l="1"/>
  <c r="AE27" i="71" s="1"/>
  <c r="U27" i="71"/>
  <c r="L17" i="72"/>
  <c r="Z16" i="71" s="1"/>
  <c r="AB16" i="71" s="1"/>
  <c r="J17" i="72"/>
  <c r="J26" i="66"/>
  <c r="J26" i="65"/>
  <c r="K14" i="3"/>
  <c r="K26" i="3" s="1"/>
  <c r="M115" i="1" s="1"/>
  <c r="J26" i="3"/>
  <c r="AB14" i="66"/>
  <c r="AB14" i="65"/>
  <c r="AB14" i="3"/>
  <c r="AA14" i="63"/>
  <c r="AC14" i="63" s="1"/>
  <c r="F14" i="63" s="1"/>
  <c r="X26" i="60"/>
  <c r="K14" i="66" l="1"/>
  <c r="K26" i="66" s="1"/>
  <c r="M117" i="1" s="1"/>
  <c r="K15" i="63"/>
  <c r="L26" i="63"/>
  <c r="D121" i="1" s="1"/>
  <c r="J26" i="63"/>
  <c r="AC16" i="71"/>
  <c r="K14" i="65"/>
  <c r="K26" i="65" s="1"/>
  <c r="M116" i="1" s="1"/>
  <c r="Y26" i="66"/>
  <c r="Y26" i="65"/>
  <c r="Y26" i="3"/>
  <c r="Y26" i="64"/>
  <c r="AB14" i="63"/>
  <c r="M98" i="1"/>
  <c r="M84" i="1"/>
  <c r="M89" i="1" s="1"/>
  <c r="M94" i="1" s="1"/>
  <c r="E8" i="66"/>
  <c r="D7" i="66"/>
  <c r="E8" i="65"/>
  <c r="D7" i="65"/>
  <c r="E9" i="3"/>
  <c r="D8" i="3"/>
  <c r="E9" i="64"/>
  <c r="D8" i="64"/>
  <c r="H9" i="63"/>
  <c r="E9" i="63"/>
  <c r="E8" i="63"/>
  <c r="U26" i="60"/>
  <c r="Q26" i="60"/>
  <c r="M26" i="60"/>
  <c r="I26" i="60"/>
  <c r="D26" i="60"/>
  <c r="W25" i="60"/>
  <c r="V25" i="60"/>
  <c r="P25" i="60"/>
  <c r="W24" i="60"/>
  <c r="V24" i="60"/>
  <c r="P24" i="60"/>
  <c r="W23" i="60"/>
  <c r="V23" i="60"/>
  <c r="P23" i="60"/>
  <c r="W22" i="60"/>
  <c r="V22" i="60"/>
  <c r="P22" i="60"/>
  <c r="W21" i="60"/>
  <c r="V21" i="60"/>
  <c r="P21" i="60"/>
  <c r="W20" i="60"/>
  <c r="V20" i="60"/>
  <c r="P20" i="60"/>
  <c r="W19" i="60"/>
  <c r="V19" i="60"/>
  <c r="P19" i="60"/>
  <c r="W18" i="60"/>
  <c r="V18" i="60"/>
  <c r="P18" i="60"/>
  <c r="W17" i="60"/>
  <c r="V17" i="60"/>
  <c r="P17" i="60"/>
  <c r="W16" i="60"/>
  <c r="V16" i="60"/>
  <c r="P16" i="60"/>
  <c r="E16" i="72" s="1"/>
  <c r="W16" i="71" s="1"/>
  <c r="W15" i="60"/>
  <c r="V15" i="60"/>
  <c r="P15" i="60"/>
  <c r="W14" i="60"/>
  <c r="V14" i="60"/>
  <c r="P14" i="60"/>
  <c r="H8" i="60"/>
  <c r="E8" i="60"/>
  <c r="E7" i="60"/>
  <c r="E20" i="2"/>
  <c r="D20" i="2"/>
  <c r="C20" i="2"/>
  <c r="C21" i="2" s="1"/>
  <c r="H8" i="2"/>
  <c r="F8" i="2"/>
  <c r="C7" i="2"/>
  <c r="C16" i="12"/>
  <c r="C13" i="12"/>
  <c r="E15" i="72" l="1"/>
  <c r="W15" i="71" s="1"/>
  <c r="E14" i="72"/>
  <c r="L15" i="70" s="1"/>
  <c r="L17" i="70"/>
  <c r="L18" i="70"/>
  <c r="AA15" i="66"/>
  <c r="AA15" i="65"/>
  <c r="AA15" i="3"/>
  <c r="AA14" i="64"/>
  <c r="R19" i="60"/>
  <c r="R21" i="60"/>
  <c r="S21" i="60" s="1"/>
  <c r="T21" i="60" s="1"/>
  <c r="R23" i="60"/>
  <c r="R25" i="60"/>
  <c r="S25" i="60" s="1"/>
  <c r="T25" i="60" s="1"/>
  <c r="R22" i="60"/>
  <c r="V26" i="60"/>
  <c r="R20" i="60"/>
  <c r="S20" i="60" s="1"/>
  <c r="T20" i="60" s="1"/>
  <c r="R24" i="60"/>
  <c r="S24" i="60" s="1"/>
  <c r="T24" i="60" s="1"/>
  <c r="R15" i="60"/>
  <c r="S15" i="60" s="1"/>
  <c r="T15" i="60" s="1"/>
  <c r="R18" i="60"/>
  <c r="S18" i="60" s="1"/>
  <c r="T18" i="60" s="1"/>
  <c r="R17" i="60"/>
  <c r="S17" i="60" s="1"/>
  <c r="T17" i="60" s="1"/>
  <c r="R16" i="60"/>
  <c r="S16" i="60" s="1"/>
  <c r="T16" i="60" s="1"/>
  <c r="R14" i="60"/>
  <c r="S19" i="60"/>
  <c r="T19" i="60" s="1"/>
  <c r="S23" i="60"/>
  <c r="T23" i="60" s="1"/>
  <c r="W26" i="60"/>
  <c r="S22" i="60"/>
  <c r="T22" i="60" s="1"/>
  <c r="M151" i="1"/>
  <c r="M79" i="1"/>
  <c r="P26" i="60"/>
  <c r="D142" i="1" s="1"/>
  <c r="N26" i="60"/>
  <c r="D137" i="1" s="1"/>
  <c r="M88" i="1"/>
  <c r="M93" i="1"/>
  <c r="M83" i="1"/>
  <c r="M78" i="1"/>
  <c r="L16" i="70" l="1"/>
  <c r="L27" i="70" s="1"/>
  <c r="E26" i="72"/>
  <c r="W27" i="71"/>
  <c r="K14" i="63"/>
  <c r="AB15" i="66"/>
  <c r="AC15" i="66"/>
  <c r="AC15" i="65"/>
  <c r="AB15" i="65"/>
  <c r="AC15" i="3"/>
  <c r="AB15" i="3"/>
  <c r="AC14" i="64"/>
  <c r="F14" i="64" s="1"/>
  <c r="AB14" i="64"/>
  <c r="E26" i="60"/>
  <c r="AA16" i="60"/>
  <c r="M50" i="1"/>
  <c r="M145" i="1"/>
  <c r="AD26" i="60"/>
  <c r="M56" i="1" s="1"/>
  <c r="M42" i="1"/>
  <c r="M58" i="1" s="1"/>
  <c r="R26" i="60"/>
  <c r="S14" i="60"/>
  <c r="T14" i="60" s="1"/>
  <c r="K26" i="63" l="1"/>
  <c r="D116" i="1" s="1"/>
  <c r="F15" i="66"/>
  <c r="F15" i="65"/>
  <c r="F15" i="3"/>
  <c r="M60" i="1"/>
  <c r="M62" i="1" s="1"/>
  <c r="AA15" i="60"/>
  <c r="AB15" i="60" s="1"/>
  <c r="AB16" i="60"/>
  <c r="AC16" i="60"/>
  <c r="M140" i="1"/>
  <c r="M136" i="1"/>
  <c r="S26" i="60"/>
  <c r="T26" i="60"/>
  <c r="D132" i="1" s="1"/>
  <c r="M141" i="1"/>
  <c r="M64" i="1" l="1"/>
  <c r="M70" i="1" s="1"/>
  <c r="F16" i="72"/>
  <c r="F16" i="60"/>
  <c r="AC15" i="60"/>
  <c r="AA14" i="60"/>
  <c r="D127" i="1"/>
  <c r="M130" i="1" s="1"/>
  <c r="M114" i="1"/>
  <c r="M135" i="1"/>
  <c r="M66" i="1" s="1"/>
  <c r="F15" i="60" l="1"/>
  <c r="K15" i="60" s="1"/>
  <c r="L26" i="65"/>
  <c r="M121" i="1" s="1"/>
  <c r="K14" i="64"/>
  <c r="AC14" i="60"/>
  <c r="AB14" i="60"/>
  <c r="M156" i="1"/>
  <c r="L26" i="3" l="1"/>
  <c r="M120" i="1" s="1"/>
  <c r="L16" i="72"/>
  <c r="Z15" i="71" s="1"/>
  <c r="L26" i="66"/>
  <c r="M122" i="1" s="1"/>
  <c r="F14" i="60"/>
  <c r="J14" i="72" s="1"/>
  <c r="F14" i="72"/>
  <c r="L26" i="60"/>
  <c r="D120" i="1" s="1"/>
  <c r="AB15" i="71" l="1"/>
  <c r="AB27" i="71" s="1"/>
  <c r="Z27" i="71"/>
  <c r="AC15" i="71"/>
  <c r="AC27" i="71" s="1"/>
  <c r="Z26" i="72"/>
  <c r="K14" i="60"/>
  <c r="K14" i="72" s="1"/>
  <c r="O15" i="70" s="1"/>
  <c r="R15" i="70" s="1"/>
  <c r="AA22" i="60"/>
  <c r="AA24" i="60"/>
  <c r="AB26" i="72" l="1"/>
  <c r="AA26" i="72"/>
  <c r="AB22" i="60"/>
  <c r="AC22" i="60"/>
  <c r="AB24" i="60"/>
  <c r="AC24" i="60"/>
  <c r="Y26" i="60"/>
  <c r="J15" i="70" l="1"/>
  <c r="AC26" i="72"/>
  <c r="F22" i="60"/>
  <c r="F24" i="60"/>
  <c r="AA17" i="60"/>
  <c r="T15" i="70" l="1"/>
  <c r="T27" i="70" s="1"/>
  <c r="Q15" i="70"/>
  <c r="J27" i="70"/>
  <c r="AC17" i="60"/>
  <c r="F17" i="60" s="1"/>
  <c r="AB17" i="60"/>
  <c r="K17" i="60" l="1"/>
  <c r="K26" i="60" s="1"/>
  <c r="D115" i="1" s="1"/>
  <c r="AA18" i="60"/>
  <c r="AC18" i="60" s="1"/>
  <c r="F18" i="60" s="1"/>
  <c r="AA19" i="60"/>
  <c r="AC19" i="60" s="1"/>
  <c r="AA20" i="60"/>
  <c r="AC20" i="60" s="1"/>
  <c r="AA21" i="60"/>
  <c r="AC21" i="60" s="1"/>
  <c r="AA23" i="60"/>
  <c r="AC23" i="60"/>
  <c r="AA25" i="60"/>
  <c r="AC25" i="60" s="1"/>
  <c r="AB18" i="60"/>
  <c r="AB23" i="60"/>
  <c r="Z26" i="60"/>
  <c r="AA21" i="63"/>
  <c r="AA26" i="63" s="1"/>
  <c r="D158" i="1" s="1"/>
  <c r="AA24" i="63"/>
  <c r="AC24" i="63" s="1"/>
  <c r="AA15" i="64"/>
  <c r="AA26" i="64" s="1"/>
  <c r="D159" i="1" s="1"/>
  <c r="AA24" i="64"/>
  <c r="AC24" i="64" s="1"/>
  <c r="AA18" i="3"/>
  <c r="AA26" i="3" s="1"/>
  <c r="M157" i="1" s="1"/>
  <c r="AA21" i="3"/>
  <c r="AB21" i="3" s="1"/>
  <c r="AA18" i="65"/>
  <c r="AA26" i="65" s="1"/>
  <c r="M158" i="1" s="1"/>
  <c r="AA21" i="65"/>
  <c r="AB21" i="65" s="1"/>
  <c r="AA21" i="66"/>
  <c r="AC21" i="66" s="1"/>
  <c r="AA24" i="66"/>
  <c r="AB24" i="66" s="1"/>
  <c r="AC21" i="3"/>
  <c r="F21" i="3" s="1"/>
  <c r="AC24" i="66"/>
  <c r="F24" i="66" s="1"/>
  <c r="AB18" i="65"/>
  <c r="AC21" i="63"/>
  <c r="F21" i="63" s="1"/>
  <c r="Z26" i="64"/>
  <c r="Z26" i="65"/>
  <c r="Z26" i="3"/>
  <c r="Z26" i="66"/>
  <c r="AB24" i="63"/>
  <c r="Z26" i="63"/>
  <c r="AA26" i="66" l="1"/>
  <c r="M159" i="1" s="1"/>
  <c r="AB21" i="66"/>
  <c r="AB26" i="66" s="1"/>
  <c r="AC18" i="65"/>
  <c r="F18" i="65" s="1"/>
  <c r="AC18" i="3"/>
  <c r="F18" i="3" s="1"/>
  <c r="AB18" i="3"/>
  <c r="AB26" i="3" s="1"/>
  <c r="F24" i="64"/>
  <c r="F24" i="63"/>
  <c r="AB21" i="63"/>
  <c r="AB26" i="63" s="1"/>
  <c r="D163" i="1" s="1"/>
  <c r="AC26" i="63"/>
  <c r="F25" i="60"/>
  <c r="F23" i="60"/>
  <c r="F19" i="60"/>
  <c r="F20" i="60"/>
  <c r="F26" i="60" s="1"/>
  <c r="F21" i="60"/>
  <c r="AB21" i="60"/>
  <c r="F21" i="66"/>
  <c r="AC26" i="66"/>
  <c r="AB26" i="65"/>
  <c r="AC21" i="65"/>
  <c r="AB24" i="64"/>
  <c r="AB15" i="64"/>
  <c r="AC15" i="64"/>
  <c r="F26" i="63"/>
  <c r="AB20" i="60"/>
  <c r="AB25" i="60"/>
  <c r="AB19" i="60"/>
  <c r="AA26" i="60"/>
  <c r="D157" i="1" s="1"/>
  <c r="F26" i="3"/>
  <c r="F26" i="66"/>
  <c r="AC26" i="60"/>
  <c r="AC26" i="3"/>
  <c r="M162" i="1" s="1"/>
  <c r="M160" i="1" l="1"/>
  <c r="M164" i="1"/>
  <c r="F15" i="64"/>
  <c r="J15" i="72" s="1"/>
  <c r="F15" i="72"/>
  <c r="AB26" i="64"/>
  <c r="J26" i="60"/>
  <c r="AB26" i="60"/>
  <c r="AC26" i="65"/>
  <c r="M163" i="1" s="1"/>
  <c r="F21" i="65"/>
  <c r="AC26" i="64"/>
  <c r="D162" i="1"/>
  <c r="K15" i="64" l="1"/>
  <c r="J26" i="64"/>
  <c r="F26" i="72"/>
  <c r="D164" i="1"/>
  <c r="M165" i="1" s="1"/>
  <c r="F26" i="65"/>
  <c r="F26" i="64"/>
  <c r="K26" i="64" l="1"/>
  <c r="K15" i="72"/>
  <c r="D117" i="1"/>
  <c r="M118" i="1" s="1"/>
  <c r="J26" i="72"/>
  <c r="O16" i="70" l="1"/>
  <c r="K26" i="72"/>
  <c r="L26" i="64"/>
  <c r="D122" i="1" s="1"/>
  <c r="M123" i="1" s="1"/>
  <c r="L15" i="72"/>
  <c r="L26" i="72" s="1"/>
  <c r="R16" i="70" l="1"/>
  <c r="R27" i="70" s="1"/>
  <c r="Q16" i="70"/>
  <c r="Q27" i="70" s="1"/>
  <c r="O27" i="70"/>
</calcChain>
</file>

<file path=xl/sharedStrings.xml><?xml version="1.0" encoding="utf-8"?>
<sst xmlns="http://schemas.openxmlformats.org/spreadsheetml/2006/main" count="1070" uniqueCount="377">
  <si>
    <t>Раздел. Общая информация о налогоплательщике</t>
  </si>
  <si>
    <t>первоначальная</t>
  </si>
  <si>
    <t>очередная</t>
  </si>
  <si>
    <t>дополнительная по уведомлению</t>
  </si>
  <si>
    <t>А</t>
  </si>
  <si>
    <t>Сумма</t>
  </si>
  <si>
    <t>Код строки</t>
  </si>
  <si>
    <t>В</t>
  </si>
  <si>
    <t>С</t>
  </si>
  <si>
    <t>D</t>
  </si>
  <si>
    <t>Примечание.</t>
  </si>
  <si>
    <t>Х</t>
  </si>
  <si>
    <t>год</t>
  </si>
  <si>
    <t>Итого</t>
  </si>
  <si>
    <t>Форма 910.00</t>
  </si>
  <si>
    <t>ИИН (БИН)</t>
  </si>
  <si>
    <t>Ф.И.О. или наименование налогоплательщика</t>
  </si>
  <si>
    <t>Налоговый период, за который представляется налоговая отчетность:</t>
  </si>
  <si>
    <t>полугодие</t>
  </si>
  <si>
    <t>Категория налогоплательщика</t>
  </si>
  <si>
    <t xml:space="preserve">(укажите </t>
  </si>
  <si>
    <t>в соответствующей ячейке)</t>
  </si>
  <si>
    <t>ликвидационная</t>
  </si>
  <si>
    <t>Номер и дата уведомления (заполняется в случае представления дополнительной декларации по уведомлению)</t>
  </si>
  <si>
    <t>номер</t>
  </si>
  <si>
    <t>Дата</t>
  </si>
  <si>
    <t>Код валюты</t>
  </si>
  <si>
    <t>Признак резидентства:</t>
  </si>
  <si>
    <t xml:space="preserve"> нерезидент РК</t>
  </si>
  <si>
    <t>резидент РК</t>
  </si>
  <si>
    <t>Раздел. Исчисление налогов</t>
  </si>
  <si>
    <t>910.00.001</t>
  </si>
  <si>
    <t>910.00.002</t>
  </si>
  <si>
    <t>910.00.003</t>
  </si>
  <si>
    <t>910.00.004</t>
  </si>
  <si>
    <t>910.00.005</t>
  </si>
  <si>
    <t>910.00.006</t>
  </si>
  <si>
    <t>910.00.007</t>
  </si>
  <si>
    <t>910.00.008</t>
  </si>
  <si>
    <t>910.00.009</t>
  </si>
  <si>
    <t>в том числе доход от корректировки в соответствии с Законом о трансферном ценообразовании</t>
  </si>
  <si>
    <t>Сумма исчисленных налогов (910.00.001*3%)</t>
  </si>
  <si>
    <t>Сумма налогов после корректировки (910.00.005-910.00.006)</t>
  </si>
  <si>
    <t>Сумма индивидуального (корпоративного) подоходного налога, подлежащего уплате в бюджет (910.00.007*0,5)</t>
  </si>
  <si>
    <t>Раздел. Исчисление социальных отчислений и обязательных пенсионных взносов за индивидуального предпринимателя</t>
  </si>
  <si>
    <t>910.00.010</t>
  </si>
  <si>
    <t>910.00.011</t>
  </si>
  <si>
    <t>910.00.012</t>
  </si>
  <si>
    <t>910.00.013</t>
  </si>
  <si>
    <t>910.00.014</t>
  </si>
  <si>
    <t>910.00.015</t>
  </si>
  <si>
    <t>910.00.016</t>
  </si>
  <si>
    <t>910.00.017</t>
  </si>
  <si>
    <t>910.00.018</t>
  </si>
  <si>
    <t>910.00.019</t>
  </si>
  <si>
    <t>910.00.020</t>
  </si>
  <si>
    <t>910.00.021</t>
  </si>
  <si>
    <t>Раздел. Ответственность налогоплательщика (налогового агента)</t>
  </si>
  <si>
    <t>период</t>
  </si>
  <si>
    <t xml:space="preserve">реализация товаров </t>
  </si>
  <si>
    <t>выполнение работ, оказание услуг</t>
  </si>
  <si>
    <t>прочий доход</t>
  </si>
  <si>
    <t>(Ф.И.О., подпись руководителя (налогоплательщика),  печать)</t>
  </si>
  <si>
    <t>(Ф.И.О., подпись главного бухгалтера )</t>
  </si>
  <si>
    <t xml:space="preserve">(Дата составления налогового регистра) </t>
  </si>
  <si>
    <t>Реализация товаров, выполнение работ, оказание услуг</t>
  </si>
  <si>
    <t>Налоговый период, за который предоставляется налоговая отчетность: полугодие</t>
  </si>
  <si>
    <t xml:space="preserve">Наименование налогоплательщика </t>
  </si>
  <si>
    <t>РНН</t>
  </si>
  <si>
    <t>№ п/п</t>
  </si>
  <si>
    <t>Ф.И.О. работника</t>
  </si>
  <si>
    <t>начисленный доход</t>
  </si>
  <si>
    <t>Итого:</t>
  </si>
  <si>
    <t>(Ф.И.О., подпись лица, ответственного за составление налогового регистра)</t>
  </si>
  <si>
    <t>Доходы, облагаемые ИПН</t>
  </si>
  <si>
    <t>Доходы, не облагаемые ОПВ</t>
  </si>
  <si>
    <t>Доход для исчисления обязательных пенсионных взносов</t>
  </si>
  <si>
    <t>Обязательные пенсионные взносы</t>
  </si>
  <si>
    <t>Доходы не облагаемые СО</t>
  </si>
  <si>
    <t>Предварительный расчет объекта для исчисления СО</t>
  </si>
  <si>
    <t>Доход для исчисления социальных очтислений</t>
  </si>
  <si>
    <t>Обязательные социальные отчисления</t>
  </si>
  <si>
    <t>Справочник</t>
  </si>
  <si>
    <t>МЗП =</t>
  </si>
  <si>
    <t>тенге</t>
  </si>
  <si>
    <t>Доход для ОПВ max =</t>
  </si>
  <si>
    <t>ОПВ max =</t>
  </si>
  <si>
    <t>Доход для СО max =</t>
  </si>
  <si>
    <t>СО max =</t>
  </si>
  <si>
    <t xml:space="preserve">Месячный расчетный показатель = </t>
  </si>
  <si>
    <t xml:space="preserve">Налоговый период:   месяц       Год  </t>
  </si>
  <si>
    <t>Доход для исчисления обязательных профессиональных пенсионных взносов</t>
  </si>
  <si>
    <t>Обязательные профессиональные пенсионные взносы</t>
  </si>
  <si>
    <t>Численность работников</t>
  </si>
  <si>
    <t>Сумма индивидуального подоходного налога, подлежащая перечислению в бюджет с доходов иностранцев и лиц без гражданства</t>
  </si>
  <si>
    <t>1 месяц полугодия</t>
  </si>
  <si>
    <t>2 месяц полугодия</t>
  </si>
  <si>
    <t>3 месяц полугодия</t>
  </si>
  <si>
    <t>4 месяц полугодия</t>
  </si>
  <si>
    <t>5 месяц полугодия</t>
  </si>
  <si>
    <t>6 месяц полугодия</t>
  </si>
  <si>
    <t>Пенсионер (если да, то нужно поставить 1)</t>
  </si>
  <si>
    <t xml:space="preserve">Среднемесячная численность работников </t>
  </si>
  <si>
    <t>1 мес</t>
  </si>
  <si>
    <t>2 мес</t>
  </si>
  <si>
    <t>3 мес</t>
  </si>
  <si>
    <t>I</t>
  </si>
  <si>
    <t>II</t>
  </si>
  <si>
    <t>III</t>
  </si>
  <si>
    <t>4 мес</t>
  </si>
  <si>
    <t>5 мес</t>
  </si>
  <si>
    <t>6 мес</t>
  </si>
  <si>
    <t>IV</t>
  </si>
  <si>
    <t>V</t>
  </si>
  <si>
    <t>VI</t>
  </si>
  <si>
    <t>ИТОГО за полугодие</t>
  </si>
  <si>
    <t>Доходы физических лиц, с которых исчисляются социальные отчисления</t>
  </si>
  <si>
    <t>910.00.022</t>
  </si>
  <si>
    <t>Доходы не принимаемые для исчисления ОСМС</t>
  </si>
  <si>
    <t>Доходы  принимаемые для исчисления ОСМС</t>
  </si>
  <si>
    <t>910.00.023</t>
  </si>
  <si>
    <t>Сумма отчислений на обязательное социальное медицинское страхование, к уплате</t>
  </si>
  <si>
    <t>пенсионеры</t>
  </si>
  <si>
    <t>инвалиды</t>
  </si>
  <si>
    <t>указывается среднесписочная численность работников-пенсионеров</t>
  </si>
  <si>
    <t>указывается среднесписочная численность работников-инвалидов</t>
  </si>
  <si>
    <t>Среднемесячная заработная плата на одного работника</t>
  </si>
  <si>
    <t>ставка для ООСМС=</t>
  </si>
  <si>
    <t>ООСМС max =</t>
  </si>
  <si>
    <t>Индивидуальный подоходный налог с доходов граждан РК</t>
  </si>
  <si>
    <t>Индивидуальный подоходный налог с доходов иностранцев и лиц без гражданства</t>
  </si>
  <si>
    <t xml:space="preserve">Налоговый период:   полугодие      </t>
  </si>
  <si>
    <t xml:space="preserve"> Год  </t>
  </si>
  <si>
    <t>Ф.И.О. физического лица</t>
  </si>
  <si>
    <t>Номер месяца в полугодии выплаты дохода</t>
  </si>
  <si>
    <t>Номер месяца выплаты дохода</t>
  </si>
  <si>
    <t>Сумма индивидуального подоходного налога, подлежащая перечислению в бюджет с доходов граждан Республики Казахстан</t>
  </si>
  <si>
    <t>Доходы работников, принимаемых для исчисления обязательных профессиональных пенсионных взносов</t>
  </si>
  <si>
    <t>Сумма обязательных профессиональных взносов, к уплате</t>
  </si>
  <si>
    <t>910.00.024</t>
  </si>
  <si>
    <t>Доход, для исчисления социальных отчислений</t>
  </si>
  <si>
    <t>ставка для СО=</t>
  </si>
  <si>
    <t>доверительный управляющий в соответствии со статьей 40 Налогового кодекса</t>
  </si>
  <si>
    <t>учредитель доверительного управления в соответствии со статьей 40 Налогового кодекса</t>
  </si>
  <si>
    <t>дополнительная</t>
  </si>
  <si>
    <t>Вид декларации</t>
  </si>
  <si>
    <t xml:space="preserve"> (укажите </t>
  </si>
  <si>
    <t>Наименование показателей</t>
  </si>
  <si>
    <t xml:space="preserve">Корректировка суммы налогов в соответствии с пунктом 2 статьи 687 Налогового кодекса </t>
  </si>
  <si>
    <t>Сумма социального налога, подлежащего уплате в бюджет ((910.00.007*0,5)-910.00.011 VII-910.00.018 VII)</t>
  </si>
  <si>
    <t>VII</t>
  </si>
  <si>
    <t xml:space="preserve">Сумма социальных отчислений, к уплате </t>
  </si>
  <si>
    <t xml:space="preserve">Доход, для исчисления обязательных пенсионных взносов </t>
  </si>
  <si>
    <t xml:space="preserve">Сумма обязательных пенсионных взносов, к уплате </t>
  </si>
  <si>
    <t xml:space="preserve">Сумма взносов на обязательное социальное медицинское страхование, к уплате </t>
  </si>
  <si>
    <t>910.00.025</t>
  </si>
  <si>
    <t>Раздел. Бизнес -идентификационный аппарата акимов городов районного значения, сел, поселков, сельских округов</t>
  </si>
  <si>
    <t>Бизнес -идентификационный аппарата акимов городов районного значения, сел, поселков, сельских округов по месту нахождения индивидуального предпринимателя</t>
  </si>
  <si>
    <t xml:space="preserve">Доход </t>
  </si>
  <si>
    <t>KZT</t>
  </si>
  <si>
    <t>X</t>
  </si>
  <si>
    <t>Ставка обложения ( резиденту - 10%; нерезиденту -20% )</t>
  </si>
  <si>
    <t>Налоговый регистр: "Начисленные доходы работникам для целей налогообложения в третьем месяце полугодия"</t>
  </si>
  <si>
    <t>Налоговый регистр: "Начисленные доходы работникам для целей налогообложения в первом месяце полугодия"</t>
  </si>
  <si>
    <t>Налоговый регистр: "Начисленные доходы работникам для целей налогообложения во втором месяце полугодия"</t>
  </si>
  <si>
    <t>Налоговый регистр: "Начисленные доходы работникам для целей налогообложения в четвертом месяце полугодия"</t>
  </si>
  <si>
    <t>Налоговый регистр: "Начисленные доходы работникам для целей налогообложения в пятом месяце полугодия"</t>
  </si>
  <si>
    <t>Налоговый регистр: "Начисленные доходы работникам для целей налогообложения в шестом месяце полугодия"</t>
  </si>
  <si>
    <t>Налоговый регистр: "Начисленные доходы физических лиц для целей налогообложения по договорам гражданско-правового характера"</t>
  </si>
  <si>
    <t>начисленный доход по договору ГПХ</t>
  </si>
  <si>
    <t>х</t>
  </si>
  <si>
    <t>Уважаемые пользователи ИС §«Бухгалтер»!</t>
  </si>
  <si>
    <t xml:space="preserve">Индивидуальный подоходный налог с доходов иностранцев и лиц без гражданства </t>
  </si>
  <si>
    <t>Доходы, облагаемые ОПВ</t>
  </si>
  <si>
    <t>Начисленный доход по договору ГПХ</t>
  </si>
  <si>
    <t>ОПВ с доходов физических лиц, не являющихся налоговыми агентами</t>
  </si>
  <si>
    <t>Предварительный расчет объекта для исчисления ОСМС</t>
  </si>
  <si>
    <t>Доход для взносов ОСМС max =</t>
  </si>
  <si>
    <t>Доход для ОСМС отчислений max =</t>
  </si>
  <si>
    <t>ставка для ВОСМС=</t>
  </si>
  <si>
    <t>Уменьшение индивидуальным предпринимателем суммы ИПН, подлежащего уплате в бюджет в соответствии с пунктом 2-1 статьи 687 Налогового кодекса (на сумму 60 000 тенге, но не более чем на 50 процентов от исчисленной суммы ИПН) за текущий календарный год</t>
  </si>
  <si>
    <t>910.00.026</t>
  </si>
  <si>
    <t>Раздел. Сведения о запасах</t>
  </si>
  <si>
    <t>910.00.028</t>
  </si>
  <si>
    <t>910.00.027</t>
  </si>
  <si>
    <t>A</t>
  </si>
  <si>
    <t>B</t>
  </si>
  <si>
    <t>C</t>
  </si>
  <si>
    <t>приобретено запасов, работ, услуг всего</t>
  </si>
  <si>
    <t>Запасы: Данная строка заполняется в случае применения трехкомпонентной интегрированной системы.</t>
  </si>
  <si>
    <t>Доход для исчисления социальных отчислений</t>
  </si>
  <si>
    <t>Сумма взносов на обязательное социальное медицинское страхование, к уплате</t>
  </si>
  <si>
    <t>Доходы принимаемые для исчисления взносов и отчислений на обязательное социальное медицинское страхование</t>
  </si>
  <si>
    <t xml:space="preserve">Сумма взносов и отчислений на обязательное социальное медицинское страхование, к уплате </t>
  </si>
  <si>
    <t>прочие вычеты</t>
  </si>
  <si>
    <t>вычет взносов ОСМС</t>
  </si>
  <si>
    <t>примененный вычет 1 МЗП</t>
  </si>
  <si>
    <t>Взносы ОСМС</t>
  </si>
  <si>
    <t xml:space="preserve">Налоговый период:   полугодие     Год  </t>
  </si>
  <si>
    <t>ИИН физ.лица</t>
  </si>
  <si>
    <t>Статус</t>
  </si>
  <si>
    <t>Категория</t>
  </si>
  <si>
    <t>Начислено доходов</t>
  </si>
  <si>
    <t>Исчисленный ИПН</t>
  </si>
  <si>
    <t>Выплачено доходов</t>
  </si>
  <si>
    <t>ИПН подлежащий уплате в бюджет</t>
  </si>
  <si>
    <t>E</t>
  </si>
  <si>
    <t>F</t>
  </si>
  <si>
    <t>G</t>
  </si>
  <si>
    <t>H</t>
  </si>
  <si>
    <t>J</t>
  </si>
  <si>
    <t>K</t>
  </si>
  <si>
    <t>L</t>
  </si>
  <si>
    <t>M</t>
  </si>
  <si>
    <t>N</t>
  </si>
  <si>
    <t>O</t>
  </si>
  <si>
    <t>P</t>
  </si>
  <si>
    <t>Q</t>
  </si>
  <si>
    <t>R</t>
  </si>
  <si>
    <t>S</t>
  </si>
  <si>
    <t>В графе D указывается статус физического лица:</t>
  </si>
  <si>
    <t>В графе E указывается категория физического лица:</t>
  </si>
  <si>
    <t>Вычет ОПВ</t>
  </si>
  <si>
    <t>Вычет ВОСМС</t>
  </si>
  <si>
    <t>доходы полученные путем безналичных расчетов</t>
  </si>
  <si>
    <t>доходы полученные путем наличных расчетов</t>
  </si>
  <si>
    <t>в том числе, с применением трехкомпонентной системы</t>
  </si>
  <si>
    <t>Начисленные доходы</t>
  </si>
  <si>
    <t>в том числе за отчетный период:</t>
  </si>
  <si>
    <t>доходы работников</t>
  </si>
  <si>
    <t>дивиденды</t>
  </si>
  <si>
    <t>выигрыши</t>
  </si>
  <si>
    <t>вознаграждения</t>
  </si>
  <si>
    <t>доходы физических лиц по договорам ГПХ предметом которых является оказание услуг, выполнение работ</t>
  </si>
  <si>
    <t>910.00.029</t>
  </si>
  <si>
    <t>ведет бухгалтерский учет в соответствии с пунктом 2 статьи 2 Закона РК "О бухгалтерском учете и финансовой отчетности"</t>
  </si>
  <si>
    <t>не ведет бухгалтерский учет в соответствии с пунктом 2 статьи 2 Закона РК "О бухгалтерском учете и финансовой отчетности"</t>
  </si>
  <si>
    <t>Сумма доходов, не подлежащих налогообложению (корректировка)</t>
  </si>
  <si>
    <t>Сумма ОПВ, исчисленных с начисленных доходов</t>
  </si>
  <si>
    <t>Сумма взносов ОСМС, исчисленных с начисленных доходов</t>
  </si>
  <si>
    <t>Сумма стандартных налоговых вычетов</t>
  </si>
  <si>
    <t>Сумма прочих налоговых вычетов</t>
  </si>
  <si>
    <t>Сумма ОПВ подлежащих перечислению</t>
  </si>
  <si>
    <t>Сумма взносов ОСМС подлежащих перечислению</t>
  </si>
  <si>
    <t>Сумма ОППВ подлежащих уплате</t>
  </si>
  <si>
    <t>Сумма отчислений ОСМС подлежащих уплате</t>
  </si>
  <si>
    <t>T</t>
  </si>
  <si>
    <t>U</t>
  </si>
  <si>
    <t>W</t>
  </si>
  <si>
    <t>Форма 910.01</t>
  </si>
  <si>
    <t>Раздел. Исчисление индивидуального подоходного налога и социальных платежей физических лиц</t>
  </si>
  <si>
    <t xml:space="preserve">Доходы физических лиц, с которых удерживаются (начисляются) обязательные пенсионные взносы </t>
  </si>
  <si>
    <t>запасы на начало налогового периода всего</t>
  </si>
  <si>
    <t>Раздел. Начисленные доходы физических лиц (граждане РК)</t>
  </si>
  <si>
    <t>Доход граждане РК</t>
  </si>
  <si>
    <t>Доход иностранцев</t>
  </si>
  <si>
    <t>Ф.И.О. физ.лица гражданина РК</t>
  </si>
  <si>
    <t>Сумма задолженности за отчетный период</t>
  </si>
  <si>
    <t>Ограничения по доходам согласно п. 2 ст.683 НК</t>
  </si>
  <si>
    <t>Доходы, не облагаемые ИПН (корректировка)</t>
  </si>
  <si>
    <t>Прочие стандартные вычеты</t>
  </si>
  <si>
    <t>прочие стандартные вычеты</t>
  </si>
  <si>
    <t>Стандартные налоговые вычеты, основание</t>
  </si>
  <si>
    <t>Прочие налоговые вычеты, основание</t>
  </si>
  <si>
    <t>Доход для исчисления ОППВ работодателя</t>
  </si>
  <si>
    <t>Доходы, не облагаемые ВОСМС</t>
  </si>
  <si>
    <t>Объект обложения ВОСМС</t>
  </si>
  <si>
    <t>1 - физическое лицо, получившее доход работника (по трудовому договору/контракту), в том числе в виде натуральной и материальной выгоды, прощения долга, а также безвозмездно полученного имущества;</t>
  </si>
  <si>
    <t>2 - физическое лицо, получившее доходы по договорам гражданско-правового характера предметом которых является оказание услуг, выполнение работ, в том числе в виде прощения долга;</t>
  </si>
  <si>
    <t>3 - физическое лицо, получившее доход в виде выигрыша;</t>
  </si>
  <si>
    <t>4 - физическое лицо, получившее доходы в виде вознаграждения;</t>
  </si>
  <si>
    <t>5 - физическое лицо, получившее доходы в виде дивидендов;</t>
  </si>
  <si>
    <t>В случае если у физического лица произведены выплаты в виде нескольких видов доходов, каждый из перечисленных доходов подлежит заполнению отдельной строкой.</t>
  </si>
  <si>
    <t>1 -  дети;</t>
  </si>
  <si>
    <t>2 - лица, зарегистрированные в качестве безработных;</t>
  </si>
  <si>
    <t>3 - неработающие беременные женщины;</t>
  </si>
  <si>
    <t>4 - неработающее лицо (один из законных представителей ребенка), воспитывающее ребенка (детей) до достижения им (ими) возраста трех лет, за исключением лиц, предусмотренных подпунктом 5) настоящей графы;</t>
  </si>
  <si>
    <t>5 - лица, находящиеся в отпусках в связи с беременностью и родами, усыновлением (удочерением) новорожденного ребенка (детей), по уходу за ребенком (детьми) до достижения им (ими) возраста трех лет;</t>
  </si>
  <si>
    <t>6 -неработающие лица, осуществляющие уход за ребенком-инвалидом;</t>
  </si>
  <si>
    <t>6-1 - неработающее лицо, осуществляющее уход за инвалидом первой группы с детства;</t>
  </si>
  <si>
    <t>7 - получатели пенсионных выплат, в том числе ветераны Великой Отечественной войны;</t>
  </si>
  <si>
    <t>8 - лица, отбывающие наказание по приговору суда в учреждениях уголовно-исполнительной (пенитенциарной) системы (за исключением учреждений минимальной безопасности);</t>
  </si>
  <si>
    <t>9 - лица, содержащиеся в следственных изоляторах;</t>
  </si>
  <si>
    <t>10 - неработающие «Қандас»;</t>
  </si>
  <si>
    <t>11 - многодетные матери, награжденные подвесками «Алтын алқа», «Күміс алқа» или получившие ранее звание «Мать-героиня», а также награжденные орденами «Материнская слава» I и II степени;</t>
  </si>
  <si>
    <t>12 - инвалиды;</t>
  </si>
  <si>
    <t>13 - лица, обучающиеся по очной форме обучения в организациях среднего, технического и профессионального, послесреднего, высшего образования, а также послевузовского образования;</t>
  </si>
  <si>
    <t>14 - неработающие получатели государственной адресной социальной помощи.</t>
  </si>
  <si>
    <t>15 - усыновитель (удочеритель) ребенка, не достигшего восемнадцатилетнего возраста;</t>
  </si>
  <si>
    <t>16 - приемный родитель, принявший детей-сирот и детей, оставшихся без попечения родителей, в приемную семью.</t>
  </si>
  <si>
    <t>В случае если физическое лицо имеет несколько категорий, категории указываются через запятую.</t>
  </si>
  <si>
    <t>Сумма социальных отчислений ГФСС</t>
  </si>
  <si>
    <t>6 месяцев</t>
  </si>
  <si>
    <t>Форма 910.02</t>
  </si>
  <si>
    <t>Исчисление налога и социальных платежей с доходов физических лиц, за исключением иностранцев и лиц без гражданства</t>
  </si>
  <si>
    <t>Исчисление ИПН с доходов иностранцев и лиц без гражданства</t>
  </si>
  <si>
    <t>Ф.И.О. иностранца или лица без гражданства</t>
  </si>
  <si>
    <t>ИИН иностранца или лица без гражданства</t>
  </si>
  <si>
    <t>Код страны гражданства</t>
  </si>
  <si>
    <t>Признак резидентства</t>
  </si>
  <si>
    <t>Код страны резидентства</t>
  </si>
  <si>
    <t>Номер налоговой регистрации иностранца или лица без гражданства в стране резидентства</t>
  </si>
  <si>
    <t>Вид, номер и дата выдачи документа, удостоверяющего личность иностранца или лица без гражданства</t>
  </si>
  <si>
    <t>00123456</t>
  </si>
  <si>
    <t>00789456</t>
  </si>
  <si>
    <t>Код вида дохода</t>
  </si>
  <si>
    <t>04</t>
  </si>
  <si>
    <t>01</t>
  </si>
  <si>
    <t xml:space="preserve">В графе D указывается код страны гражданства иностранцев и лиц без гражданства. Код страны указывается в соответствии с двузначной буквенной кодировкой, установленной в приложении 22 «Классификатор стран мира», утвержденном решением Комиссии Таможенного союза от 20 сентября 2010 года № 378 (далее - решение КТС № 378). </t>
  </si>
  <si>
    <t>В графе E указывается признак резидентства «1» - резидент, «2» - нерезидент.</t>
  </si>
  <si>
    <t>При заполнении декларации используется следующая кодировка видов документов, удостоверяющих личность иностранцев и лиц без гражданства:</t>
  </si>
  <si>
    <t>01 - паспорт иностранного гражданина;</t>
  </si>
  <si>
    <t>02 - удостоверение личности иностранного гражданина;</t>
  </si>
  <si>
    <t>03 - паспорт моряка;</t>
  </si>
  <si>
    <t>04 - вид на жительство;</t>
  </si>
  <si>
    <t>05 - другие документы;</t>
  </si>
  <si>
    <t>В графе H указываются код вида документа, удостоверяющего личность иностранцев и лиц без гражданства, а также номер и дата выдачи данного документа.</t>
  </si>
  <si>
    <t>Вид международного договора</t>
  </si>
  <si>
    <t>Наименование международного договора</t>
  </si>
  <si>
    <t>Код страны, с которой заключен международный договор</t>
  </si>
  <si>
    <t>Ставка налога</t>
  </si>
  <si>
    <t>Доходы не подлежащие налогообложению (корректировка), основание ст. 341 НК</t>
  </si>
  <si>
    <t>Доходы не подлежащие налогообложению (корректировка), основание ст. 341, 654 НК</t>
  </si>
  <si>
    <t>Сумма доходов, не подлежащих налогообложению п.1 ст. 341 НК (корректировка)</t>
  </si>
  <si>
    <t>Сумма доходов, не подлежащих налогообложению п.1 ст. 654 НК (корректировка)</t>
  </si>
  <si>
    <r>
      <t xml:space="preserve">Данная форма призвана оказать Вам помощь  при  заполнении упрощенной декларации для субъектов малого бизнеса ИП </t>
    </r>
    <r>
      <rPr>
        <b/>
        <sz val="10"/>
        <color rgb="FFFF0000"/>
        <rFont val="Arial"/>
        <family val="2"/>
        <charset val="204"/>
      </rPr>
      <t xml:space="preserve">по  форме 910.00 за  полугодие 2021 года. В форме № 910 Декларации ничего заполнять вручную не надо, все данные заполняются автомотически из приложений №1, №2.1, №2.2, №2.3, №2.4, №2.5, №2.6, №3. В приложениях нужно заполнять только те строки, которые выделены желтым цветом, все остальное считается автоматически. </t>
    </r>
  </si>
  <si>
    <t xml:space="preserve">Ставка ОПВ (10%) </t>
  </si>
  <si>
    <t>Y</t>
  </si>
  <si>
    <t>Z</t>
  </si>
  <si>
    <t>AA</t>
  </si>
  <si>
    <t>AB</t>
  </si>
  <si>
    <t>AC</t>
  </si>
  <si>
    <t>AD</t>
  </si>
  <si>
    <t>Сумма социальных отчислений</t>
  </si>
  <si>
    <t>AE</t>
  </si>
  <si>
    <t>AF</t>
  </si>
  <si>
    <t>запасы на конец налогового периода всего</t>
  </si>
  <si>
    <t>Я несу ответственность в соответствии с законами Республики Казахстан за достоверность и полноту сведений, приведенных в данной декларации.</t>
  </si>
  <si>
    <t>Не выходить за ограничительную рамку</t>
  </si>
  <si>
    <t>Фамилия,имя, отчество (при его наличии) налогоплательщика (руководителя)</t>
  </si>
  <si>
    <t>Подпись</t>
  </si>
  <si>
    <t>Место печати (за исключением юридич.лиц, относящихся к субъектам частного предпринимательства</t>
  </si>
  <si>
    <t>Цифрами: день, месяц, год</t>
  </si>
  <si>
    <t>Фамилия,имя, отчество (при его наличии) должностного лица, принявшего Расчет</t>
  </si>
  <si>
    <t>Входящий номер документа</t>
  </si>
  <si>
    <t>Дата почтового штемпеля</t>
  </si>
  <si>
    <t>(заполняется в случае сдачи расчета по почте)</t>
  </si>
  <si>
    <t>Дата подачи декларации</t>
  </si>
  <si>
    <t>Код органа государственных доходов по месту нахождения</t>
  </si>
  <si>
    <t>Код органа государственных доходов по месту жительства</t>
  </si>
  <si>
    <t>Дата приема декларации</t>
  </si>
  <si>
    <t>УПРОЩЕННАЯ ДЕКЛАРАЦИЯ ДЛЯ СУБЪЕКТОВ МАЛОГО БИЗНЕСА (910.00) за полугодие 2021 года для ТОО</t>
  </si>
  <si>
    <t>ТОО ААА</t>
  </si>
  <si>
    <t>раздел заполняется ИП</t>
  </si>
  <si>
    <t>Если в 2020-2022 гг. ТОО вправе уменьшить сумму КПН и социального налога, исчисленных в соответствии со статьей 687 Налогового кодекса на основании статьи 57-4 Закона РК от 25 декабря 2017 года № 121-VI «О введении в действие Кодекса РК «О налогах и других обязательных платежах в бюджет» (Налоговый кодекс)», то в строках 910.00.008, 910.00.009, 910.00.011 будут указываться нулевые суммы КПН и социального налога.</t>
  </si>
  <si>
    <t>Сумма КПН (ИПН), подлежащего уплате в бюджет за налоговый период, 910.00.008-910.00.010</t>
  </si>
  <si>
    <t>Среднемесячная заработная плата на одного работника (2.1+2.2+2.3+2.4+2.5+2.6)/6</t>
  </si>
  <si>
    <t>Налоговый регистр: "Начисленные доходы физических лиц (дивиденды) для целей налогообложения"</t>
  </si>
  <si>
    <t>В случае, если учредитель обладает долей в уставном капитале более трех лет, необходимо в графе "Ставка обложения " поставить 0%</t>
  </si>
  <si>
    <t>ИИН физического лица</t>
  </si>
  <si>
    <t>начисленный доход (дивиденды, вознаграждения, выигрыши)</t>
  </si>
  <si>
    <t>Доходы, не облагаемые ИПН</t>
  </si>
  <si>
    <t>Ставка обложения (дивиденды резиденту - 5%; нерезиденту -15% )</t>
  </si>
  <si>
    <t>авов</t>
  </si>
  <si>
    <t>Трехкомпонентная интегрированная система (в случае наличия, укажите Х в ячейке):</t>
  </si>
  <si>
    <t>Укажите наименование трехкомпонентной интегрированной системы:</t>
  </si>
  <si>
    <t>номер регистрационной карточки</t>
  </si>
  <si>
    <t>дата постановки на учет</t>
  </si>
  <si>
    <t>Представленные приложения (укажите Х в соответствующей ячейке)</t>
  </si>
  <si>
    <t>02</t>
  </si>
  <si>
    <t>ахметов</t>
  </si>
  <si>
    <t>иванов</t>
  </si>
  <si>
    <t>петров</t>
  </si>
  <si>
    <t>кузнецов</t>
  </si>
  <si>
    <t>строка итого переносится в 910.00 по строке 910.00.001</t>
  </si>
  <si>
    <t>сид</t>
  </si>
  <si>
    <t>Признак резиденства: гражданин РК - 1; иностранный гражданин резидент - 2; иностранный гражданин нерезидент - 3; гражданин ЕАЭС - 4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</si>
</sst>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1" formatCode="_-* #,##0\ _₽_-;\-* #,##0\ _₽_-;_-* &quot;-&quot;\ _₽_-;_-@_-"/>
    <numFmt numFmtId="43" formatCode="_-* #,##0.00\ _₽_-;\-* #,##0.00\ _₽_-;_-* &quot;-&quot;??\ _₽_-;_-@_-"/>
    <numFmt numFmtId="164" formatCode="0.0%"/>
    <numFmt numFmtId="165" formatCode="_-* #,##0\ _₽_-;\-* #,##0\ _₽_-;_-* &quot;-&quot;??\ _₽_-;_-@_-"/>
  </numFmts>
  <fonts count="19" x14ac:knownFonts="1">
    <font>
      <sz val="10"/>
      <name val="Arial Cyr"/>
      <charset val="204"/>
    </font>
    <font>
      <sz val="8"/>
      <name val="Arial Cyr"/>
      <charset val="204"/>
    </font>
    <font>
      <u/>
      <sz val="10"/>
      <color indexed="12"/>
      <name val="Arial Cyr"/>
      <charset val="204"/>
    </font>
    <font>
      <b/>
      <sz val="10"/>
      <name val="Arial"/>
      <family val="2"/>
      <charset val="204"/>
    </font>
    <font>
      <b/>
      <u/>
      <sz val="10"/>
      <name val="Arial"/>
      <family val="2"/>
      <charset val="204"/>
    </font>
    <font>
      <b/>
      <sz val="10"/>
      <color rgb="FFFFC000"/>
      <name val="Arial"/>
      <family val="2"/>
      <charset val="204"/>
    </font>
    <font>
      <sz val="10"/>
      <color theme="1"/>
      <name val="Arial"/>
      <family val="2"/>
      <charset val="204"/>
    </font>
    <font>
      <sz val="10"/>
      <name val="Arial Cyr"/>
      <charset val="204"/>
    </font>
    <font>
      <sz val="10"/>
      <name val="Arial"/>
      <family val="2"/>
      <charset val="204"/>
    </font>
    <font>
      <sz val="10"/>
      <color indexed="8"/>
      <name val="Arial"/>
      <family val="2"/>
      <charset val="204"/>
    </font>
    <font>
      <sz val="10"/>
      <color rgb="FF000000"/>
      <name val="Arial"/>
      <family val="2"/>
      <charset val="204"/>
    </font>
    <font>
      <u/>
      <sz val="10"/>
      <color indexed="12"/>
      <name val="Arial"/>
      <family val="2"/>
      <charset val="204"/>
    </font>
    <font>
      <b/>
      <sz val="10"/>
      <color indexed="8"/>
      <name val="Arial"/>
      <family val="2"/>
      <charset val="204"/>
    </font>
    <font>
      <b/>
      <sz val="10"/>
      <color rgb="FFFF0000"/>
      <name val="Arial"/>
      <family val="2"/>
      <charset val="204"/>
    </font>
    <font>
      <sz val="10"/>
      <color theme="0"/>
      <name val="Arial"/>
      <family val="2"/>
      <charset val="204"/>
    </font>
    <font>
      <b/>
      <sz val="10"/>
      <color theme="0"/>
      <name val="Arial"/>
      <family val="2"/>
      <charset val="204"/>
    </font>
    <font>
      <b/>
      <sz val="10"/>
      <color indexed="9"/>
      <name val="Arial"/>
      <family val="2"/>
      <charset val="204"/>
    </font>
    <font>
      <i/>
      <sz val="10"/>
      <name val="Arial"/>
      <family val="2"/>
      <charset val="204"/>
    </font>
    <font>
      <sz val="10"/>
      <color rgb="FFFF0000"/>
      <name val="Arial"/>
      <family val="2"/>
      <charset val="204"/>
    </font>
  </fonts>
  <fills count="7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rgb="FFFF0000"/>
        <bgColor indexed="64"/>
      </patternFill>
    </fill>
  </fills>
  <borders count="54">
    <border>
      <left/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  <xf numFmtId="43" fontId="7" fillId="0" borderId="0" applyFont="0" applyFill="0" applyBorder="0" applyAlignment="0" applyProtection="0"/>
  </cellStyleXfs>
  <cellXfs count="411">
    <xf numFmtId="0" fontId="0" fillId="0" borderId="0" xfId="0"/>
    <xf numFmtId="0" fontId="3" fillId="0" borderId="7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/>
    </xf>
    <xf numFmtId="0" fontId="4" fillId="0" borderId="0" xfId="0" applyFont="1" applyFill="1"/>
    <xf numFmtId="3" fontId="5" fillId="0" borderId="0" xfId="0" applyNumberFormat="1" applyFont="1" applyFill="1" applyAlignment="1"/>
    <xf numFmtId="3" fontId="5" fillId="0" borderId="0" xfId="0" applyNumberFormat="1" applyFont="1" applyFill="1"/>
    <xf numFmtId="3" fontId="5" fillId="0" borderId="0" xfId="0" applyNumberFormat="1" applyFont="1" applyFill="1" applyAlignment="1">
      <alignment vertical="center"/>
    </xf>
    <xf numFmtId="0" fontId="3" fillId="0" borderId="0" xfId="0" applyFont="1" applyFill="1" applyAlignment="1">
      <alignment horizontal="right"/>
    </xf>
    <xf numFmtId="164" fontId="5" fillId="0" borderId="0" xfId="0" applyNumberFormat="1" applyFont="1" applyFill="1" applyAlignment="1"/>
    <xf numFmtId="164" fontId="5" fillId="0" borderId="0" xfId="0" applyNumberFormat="1" applyFont="1" applyFill="1"/>
    <xf numFmtId="165" fontId="8" fillId="0" borderId="7" xfId="2" applyNumberFormat="1" applyFont="1" applyFill="1" applyBorder="1" applyAlignment="1">
      <alignment horizontal="left" vertical="center" wrapText="1" indent="2"/>
    </xf>
    <xf numFmtId="165" fontId="6" fillId="0" borderId="7" xfId="2" applyNumberFormat="1" applyFont="1" applyFill="1" applyBorder="1" applyAlignment="1">
      <alignment horizontal="right" vertical="center"/>
    </xf>
    <xf numFmtId="165" fontId="6" fillId="4" borderId="7" xfId="2" applyNumberFormat="1" applyFont="1" applyFill="1" applyBorder="1" applyAlignment="1">
      <alignment horizontal="right" vertical="center"/>
    </xf>
    <xf numFmtId="0" fontId="8" fillId="0" borderId="7" xfId="0" applyFont="1" applyBorder="1" applyAlignment="1">
      <alignment horizontal="center" vertical="center" wrapText="1"/>
    </xf>
    <xf numFmtId="0" fontId="8" fillId="0" borderId="7" xfId="0" applyFont="1" applyFill="1" applyBorder="1" applyAlignment="1">
      <alignment horizontal="center" vertical="center" wrapText="1"/>
    </xf>
    <xf numFmtId="0" fontId="3" fillId="0" borderId="18" xfId="0" applyFont="1" applyBorder="1" applyAlignment="1">
      <alignment horizontal="center"/>
    </xf>
    <xf numFmtId="0" fontId="8" fillId="0" borderId="0" xfId="0" applyFont="1"/>
    <xf numFmtId="0" fontId="8" fillId="0" borderId="0" xfId="0" applyFont="1" applyAlignment="1">
      <alignment horizontal="right"/>
    </xf>
    <xf numFmtId="0" fontId="8" fillId="0" borderId="0" xfId="0" applyFont="1" applyAlignment="1"/>
    <xf numFmtId="0" fontId="8" fillId="0" borderId="0" xfId="0" applyFont="1" applyFill="1"/>
    <xf numFmtId="0" fontId="8" fillId="0" borderId="0" xfId="0" applyFont="1" applyAlignment="1">
      <alignment vertical="center"/>
    </xf>
    <xf numFmtId="0" fontId="9" fillId="0" borderId="12" xfId="0" applyFont="1" applyBorder="1"/>
    <xf numFmtId="0" fontId="8" fillId="0" borderId="12" xfId="0" applyFont="1" applyBorder="1"/>
    <xf numFmtId="0" fontId="9" fillId="0" borderId="16" xfId="0" applyFont="1" applyBorder="1"/>
    <xf numFmtId="3" fontId="9" fillId="0" borderId="16" xfId="0" applyNumberFormat="1" applyFont="1" applyBorder="1"/>
    <xf numFmtId="0" fontId="8" fillId="0" borderId="0" xfId="0" applyFont="1" applyBorder="1"/>
    <xf numFmtId="0" fontId="8" fillId="4" borderId="7" xfId="0" applyFont="1" applyFill="1" applyBorder="1"/>
    <xf numFmtId="1" fontId="8" fillId="4" borderId="7" xfId="0" applyNumberFormat="1" applyFont="1" applyFill="1" applyBorder="1"/>
    <xf numFmtId="0" fontId="8" fillId="4" borderId="7" xfId="0" applyFont="1" applyFill="1" applyBorder="1" applyAlignment="1">
      <alignment horizontal="center"/>
    </xf>
    <xf numFmtId="165" fontId="8" fillId="0" borderId="7" xfId="2" applyNumberFormat="1" applyFont="1" applyFill="1" applyBorder="1"/>
    <xf numFmtId="165" fontId="8" fillId="4" borderId="7" xfId="2" applyNumberFormat="1" applyFont="1" applyFill="1" applyBorder="1"/>
    <xf numFmtId="41" fontId="8" fillId="0" borderId="7" xfId="2" applyNumberFormat="1" applyFont="1" applyFill="1" applyBorder="1"/>
    <xf numFmtId="165" fontId="8" fillId="4" borderId="7" xfId="0" applyNumberFormat="1" applyFont="1" applyFill="1" applyBorder="1"/>
    <xf numFmtId="165" fontId="8" fillId="0" borderId="7" xfId="2" applyNumberFormat="1" applyFont="1" applyBorder="1"/>
    <xf numFmtId="0" fontId="8" fillId="0" borderId="7" xfId="0" applyFont="1" applyBorder="1"/>
    <xf numFmtId="41" fontId="8" fillId="0" borderId="7" xfId="2" applyNumberFormat="1" applyFont="1" applyBorder="1"/>
    <xf numFmtId="0" fontId="9" fillId="0" borderId="0" xfId="0" applyFont="1"/>
    <xf numFmtId="0" fontId="10" fillId="0" borderId="0" xfId="0" applyFont="1" applyAlignment="1">
      <alignment horizontal="left" vertical="center"/>
    </xf>
    <xf numFmtId="165" fontId="8" fillId="0" borderId="7" xfId="0" applyNumberFormat="1" applyFont="1" applyFill="1" applyBorder="1"/>
    <xf numFmtId="14" fontId="8" fillId="4" borderId="7" xfId="0" applyNumberFormat="1" applyFont="1" applyFill="1" applyBorder="1"/>
    <xf numFmtId="49" fontId="8" fillId="4" borderId="7" xfId="0" applyNumberFormat="1" applyFont="1" applyFill="1" applyBorder="1"/>
    <xf numFmtId="0" fontId="8" fillId="0" borderId="18" xfId="0" applyFont="1" applyBorder="1" applyAlignment="1">
      <alignment horizontal="center" vertical="center" wrapText="1"/>
    </xf>
    <xf numFmtId="49" fontId="8" fillId="4" borderId="7" xfId="0" applyNumberFormat="1" applyFont="1" applyFill="1" applyBorder="1" applyAlignment="1">
      <alignment horizontal="center"/>
    </xf>
    <xf numFmtId="164" fontId="8" fillId="4" borderId="7" xfId="0" applyNumberFormat="1" applyFont="1" applyFill="1" applyBorder="1"/>
    <xf numFmtId="49" fontId="8" fillId="4" borderId="7" xfId="2" applyNumberFormat="1" applyFont="1" applyFill="1" applyBorder="1"/>
    <xf numFmtId="165" fontId="8" fillId="0" borderId="0" xfId="2" applyNumberFormat="1" applyFont="1"/>
    <xf numFmtId="0" fontId="11" fillId="0" borderId="0" xfId="1" applyFont="1" applyAlignment="1" applyProtection="1"/>
    <xf numFmtId="3" fontId="3" fillId="0" borderId="0" xfId="0" applyNumberFormat="1" applyFont="1" applyFill="1" applyAlignment="1"/>
    <xf numFmtId="0" fontId="3" fillId="0" borderId="0" xfId="0" applyFont="1" applyFill="1" applyAlignment="1"/>
    <xf numFmtId="3" fontId="3" fillId="0" borderId="0" xfId="0" applyNumberFormat="1" applyFont="1" applyFill="1"/>
    <xf numFmtId="0" fontId="3" fillId="0" borderId="0" xfId="0" applyFont="1" applyFill="1" applyAlignment="1">
      <alignment horizontal="right" vertical="center" wrapText="1"/>
    </xf>
    <xf numFmtId="3" fontId="3" fillId="0" borderId="0" xfId="0" applyNumberFormat="1" applyFont="1" applyFill="1" applyAlignment="1">
      <alignment vertical="center"/>
    </xf>
    <xf numFmtId="0" fontId="3" fillId="0" borderId="0" xfId="0" applyFont="1" applyFill="1" applyAlignment="1">
      <alignment vertical="center"/>
    </xf>
    <xf numFmtId="0" fontId="9" fillId="0" borderId="0" xfId="0" applyFont="1" applyAlignment="1"/>
    <xf numFmtId="0" fontId="9" fillId="0" borderId="0" xfId="0" applyFont="1" applyAlignment="1">
      <alignment vertical="top"/>
    </xf>
    <xf numFmtId="0" fontId="12" fillId="0" borderId="0" xfId="0" applyFont="1" applyAlignment="1"/>
    <xf numFmtId="0" fontId="8" fillId="0" borderId="2" xfId="0" applyFont="1" applyFill="1" applyBorder="1"/>
    <xf numFmtId="0" fontId="8" fillId="0" borderId="3" xfId="0" applyFont="1" applyFill="1" applyBorder="1"/>
    <xf numFmtId="0" fontId="8" fillId="0" borderId="4" xfId="0" applyFont="1" applyFill="1" applyBorder="1"/>
    <xf numFmtId="0" fontId="8" fillId="0" borderId="5" xfId="0" applyFont="1" applyFill="1" applyBorder="1"/>
    <xf numFmtId="0" fontId="8" fillId="0" borderId="0" xfId="0" applyFont="1" applyFill="1" applyBorder="1"/>
    <xf numFmtId="0" fontId="8" fillId="0" borderId="1" xfId="0" applyFont="1" applyFill="1" applyBorder="1"/>
    <xf numFmtId="3" fontId="8" fillId="0" borderId="0" xfId="0" applyNumberFormat="1" applyFont="1" applyFill="1" applyBorder="1" applyAlignment="1"/>
    <xf numFmtId="0" fontId="8" fillId="0" borderId="0" xfId="0" applyFont="1" applyFill="1" applyBorder="1" applyAlignment="1"/>
    <xf numFmtId="0" fontId="8" fillId="0" borderId="7" xfId="0" applyFont="1" applyFill="1" applyBorder="1"/>
    <xf numFmtId="0" fontId="14" fillId="5" borderId="6" xfId="0" applyFont="1" applyFill="1" applyBorder="1" applyAlignment="1">
      <alignment vertical="center" wrapText="1"/>
    </xf>
    <xf numFmtId="0" fontId="8" fillId="0" borderId="0" xfId="0" applyFont="1" applyFill="1" applyBorder="1" applyAlignment="1">
      <alignment vertical="center" wrapText="1"/>
    </xf>
    <xf numFmtId="0" fontId="8" fillId="4" borderId="6" xfId="0" applyFont="1" applyFill="1" applyBorder="1"/>
    <xf numFmtId="0" fontId="8" fillId="4" borderId="6" xfId="0" applyFont="1" applyFill="1" applyBorder="1" applyAlignment="1">
      <alignment horizontal="center" vertical="center"/>
    </xf>
    <xf numFmtId="0" fontId="8" fillId="4" borderId="6" xfId="0" applyFont="1" applyFill="1" applyBorder="1" applyAlignment="1"/>
    <xf numFmtId="0" fontId="8" fillId="0" borderId="11" xfId="0" applyFont="1" applyFill="1" applyBorder="1"/>
    <xf numFmtId="0" fontId="8" fillId="0" borderId="0" xfId="0" applyFont="1" applyBorder="1" applyAlignment="1">
      <alignment vertical="center"/>
    </xf>
    <xf numFmtId="0" fontId="3" fillId="0" borderId="0" xfId="0" applyFont="1" applyFill="1" applyBorder="1" applyAlignment="1"/>
    <xf numFmtId="0" fontId="3" fillId="0" borderId="0" xfId="0" applyFont="1" applyFill="1" applyBorder="1" applyAlignment="1">
      <alignment horizontal="right"/>
    </xf>
    <xf numFmtId="0" fontId="8" fillId="0" borderId="0" xfId="0" applyFont="1" applyFill="1" applyBorder="1" applyAlignment="1">
      <alignment wrapText="1"/>
    </xf>
    <xf numFmtId="0" fontId="8" fillId="0" borderId="9" xfId="0" applyFont="1" applyFill="1" applyBorder="1"/>
    <xf numFmtId="0" fontId="8" fillId="0" borderId="10" xfId="0" applyFont="1" applyFill="1" applyBorder="1"/>
    <xf numFmtId="0" fontId="8" fillId="0" borderId="8" xfId="0" applyFont="1" applyFill="1" applyBorder="1"/>
    <xf numFmtId="0" fontId="8" fillId="0" borderId="6" xfId="0" applyFont="1" applyFill="1" applyBorder="1"/>
    <xf numFmtId="0" fontId="8" fillId="0" borderId="0" xfId="0" applyNumberFormat="1" applyFont="1" applyFill="1" applyBorder="1" applyAlignment="1">
      <alignment horizontal="center"/>
    </xf>
    <xf numFmtId="0" fontId="3" fillId="0" borderId="0" xfId="0" applyFont="1" applyFill="1" applyBorder="1"/>
    <xf numFmtId="0" fontId="8" fillId="0" borderId="0" xfId="0" applyFont="1" applyFill="1" applyAlignment="1">
      <alignment wrapText="1"/>
    </xf>
    <xf numFmtId="1" fontId="8" fillId="0" borderId="17" xfId="0" applyNumberFormat="1" applyFont="1" applyFill="1" applyBorder="1" applyAlignment="1">
      <alignment horizontal="center" vertical="center"/>
    </xf>
    <xf numFmtId="1" fontId="8" fillId="0" borderId="16" xfId="0" applyNumberFormat="1" applyFont="1" applyFill="1" applyBorder="1" applyAlignment="1">
      <alignment horizontal="center" vertical="center"/>
    </xf>
    <xf numFmtId="1" fontId="8" fillId="0" borderId="18" xfId="0" applyNumberFormat="1" applyFont="1" applyFill="1" applyBorder="1" applyAlignment="1">
      <alignment horizontal="center" vertical="center"/>
    </xf>
    <xf numFmtId="0" fontId="3" fillId="0" borderId="5" xfId="0" applyFont="1" applyFill="1" applyBorder="1" applyAlignment="1">
      <alignment vertical="center" wrapText="1"/>
    </xf>
    <xf numFmtId="0" fontId="3" fillId="0" borderId="5" xfId="0" applyFont="1" applyFill="1" applyBorder="1" applyAlignment="1"/>
    <xf numFmtId="0" fontId="8" fillId="0" borderId="19" xfId="0" applyFont="1" applyFill="1" applyBorder="1" applyAlignment="1">
      <alignment horizontal="left" vertical="center"/>
    </xf>
    <xf numFmtId="0" fontId="3" fillId="0" borderId="14" xfId="0" applyFont="1" applyFill="1" applyBorder="1" applyAlignment="1">
      <alignment horizontal="right" vertical="center"/>
    </xf>
    <xf numFmtId="0" fontId="3" fillId="0" borderId="0" xfId="0" applyFont="1" applyFill="1" applyBorder="1" applyAlignment="1">
      <alignment horizontal="right" vertical="center" wrapText="1"/>
    </xf>
    <xf numFmtId="3" fontId="3" fillId="0" borderId="14" xfId="0" applyNumberFormat="1" applyFont="1" applyFill="1" applyBorder="1" applyAlignment="1">
      <alignment horizontal="center" vertical="center"/>
    </xf>
    <xf numFmtId="0" fontId="3" fillId="0" borderId="0" xfId="0" applyFont="1" applyFill="1" applyBorder="1" applyAlignment="1">
      <alignment wrapText="1"/>
    </xf>
    <xf numFmtId="0" fontId="3" fillId="0" borderId="7" xfId="0" applyFont="1" applyFill="1" applyBorder="1" applyAlignment="1">
      <alignment horizontal="right" vertical="center"/>
    </xf>
    <xf numFmtId="0" fontId="3" fillId="0" borderId="0" xfId="0" applyFont="1" applyFill="1" applyBorder="1" applyAlignment="1">
      <alignment vertical="center" wrapText="1"/>
    </xf>
    <xf numFmtId="0" fontId="15" fillId="0" borderId="31" xfId="0" applyFont="1" applyFill="1" applyBorder="1" applyAlignment="1">
      <alignment horizontal="center" wrapText="1"/>
    </xf>
    <xf numFmtId="0" fontId="15" fillId="0" borderId="20" xfId="0" applyFont="1" applyFill="1" applyBorder="1" applyAlignment="1">
      <alignment horizontal="center" wrapText="1"/>
    </xf>
    <xf numFmtId="0" fontId="8" fillId="0" borderId="7" xfId="0" applyFont="1" applyFill="1" applyBorder="1" applyAlignment="1">
      <alignment horizontal="left" vertical="top" wrapText="1"/>
    </xf>
    <xf numFmtId="0" fontId="15" fillId="0" borderId="50" xfId="0" applyFont="1" applyFill="1" applyBorder="1" applyAlignment="1">
      <alignment horizontal="center" wrapText="1"/>
    </xf>
    <xf numFmtId="0" fontId="15" fillId="0" borderId="11" xfId="0" applyFont="1" applyFill="1" applyBorder="1" applyAlignment="1">
      <alignment horizontal="center" wrapText="1"/>
    </xf>
    <xf numFmtId="0" fontId="15" fillId="0" borderId="32" xfId="0" applyFont="1" applyFill="1" applyBorder="1" applyAlignment="1">
      <alignment horizontal="center" wrapText="1"/>
    </xf>
    <xf numFmtId="0" fontId="15" fillId="0" borderId="33" xfId="0" applyFont="1" applyFill="1" applyBorder="1" applyAlignment="1">
      <alignment horizontal="center" wrapText="1"/>
    </xf>
    <xf numFmtId="3" fontId="3" fillId="0" borderId="7" xfId="0" applyNumberFormat="1" applyFont="1" applyBorder="1"/>
    <xf numFmtId="3" fontId="3" fillId="0" borderId="7" xfId="0" applyNumberFormat="1" applyFont="1" applyBorder="1" applyAlignment="1">
      <alignment horizontal="right"/>
    </xf>
    <xf numFmtId="3" fontId="3" fillId="0" borderId="7" xfId="0" applyNumberFormat="1" applyFont="1" applyBorder="1" applyAlignment="1">
      <alignment horizontal="center"/>
    </xf>
    <xf numFmtId="0" fontId="3" fillId="0" borderId="0" xfId="0" applyFont="1" applyBorder="1" applyAlignment="1">
      <alignment horizontal="center"/>
    </xf>
    <xf numFmtId="0" fontId="3" fillId="0" borderId="0" xfId="0" applyFont="1" applyAlignment="1">
      <alignment horizontal="center" wrapText="1"/>
    </xf>
    <xf numFmtId="0" fontId="9" fillId="0" borderId="0" xfId="0" applyFont="1" applyBorder="1"/>
    <xf numFmtId="1" fontId="12" fillId="0" borderId="12" xfId="0" applyNumberFormat="1" applyFont="1" applyBorder="1"/>
    <xf numFmtId="0" fontId="3" fillId="0" borderId="13" xfId="0" applyFont="1" applyBorder="1" applyAlignment="1">
      <alignment horizontal="center" vertical="center" wrapText="1"/>
    </xf>
    <xf numFmtId="0" fontId="10" fillId="0" borderId="0" xfId="0" applyFont="1" applyAlignment="1">
      <alignment horizontal="justify" vertical="center"/>
    </xf>
    <xf numFmtId="0" fontId="3" fillId="0" borderId="13" xfId="0" applyFont="1" applyBorder="1" applyAlignment="1">
      <alignment horizontal="center"/>
    </xf>
    <xf numFmtId="0" fontId="8" fillId="0" borderId="18" xfId="0" applyFont="1" applyBorder="1"/>
    <xf numFmtId="3" fontId="8" fillId="4" borderId="7" xfId="0" applyNumberFormat="1" applyFont="1" applyFill="1" applyBorder="1"/>
    <xf numFmtId="0" fontId="3" fillId="0" borderId="7" xfId="0" applyFont="1" applyBorder="1"/>
    <xf numFmtId="0" fontId="3" fillId="0" borderId="0" xfId="0" applyFont="1" applyBorder="1"/>
    <xf numFmtId="0" fontId="3" fillId="0" borderId="0" xfId="0" applyFont="1" applyBorder="1" applyAlignment="1">
      <alignment wrapText="1"/>
    </xf>
    <xf numFmtId="0" fontId="9" fillId="0" borderId="14" xfId="0" applyFont="1" applyBorder="1"/>
    <xf numFmtId="0" fontId="8" fillId="0" borderId="14" xfId="0" applyFont="1" applyBorder="1"/>
    <xf numFmtId="3" fontId="9" fillId="0" borderId="0" xfId="0" applyNumberFormat="1" applyFont="1" applyBorder="1"/>
    <xf numFmtId="3" fontId="8" fillId="0" borderId="7" xfId="0" applyNumberFormat="1" applyFont="1" applyFill="1" applyBorder="1"/>
    <xf numFmtId="165" fontId="3" fillId="0" borderId="7" xfId="2" applyNumberFormat="1" applyFont="1" applyBorder="1"/>
    <xf numFmtId="9" fontId="8" fillId="0" borderId="7" xfId="0" applyNumberFormat="1" applyFont="1" applyBorder="1"/>
    <xf numFmtId="0" fontId="3" fillId="0" borderId="0" xfId="0" applyFont="1"/>
    <xf numFmtId="0" fontId="8" fillId="0" borderId="7" xfId="0" applyFont="1" applyFill="1" applyBorder="1" applyAlignment="1">
      <alignment horizontal="center"/>
    </xf>
    <xf numFmtId="165" fontId="3" fillId="0" borderId="7" xfId="2" applyNumberFormat="1" applyFont="1" applyFill="1" applyBorder="1"/>
    <xf numFmtId="0" fontId="8" fillId="0" borderId="7" xfId="0" applyFont="1" applyBorder="1" applyAlignment="1">
      <alignment horizontal="center"/>
    </xf>
    <xf numFmtId="0" fontId="3" fillId="0" borderId="30" xfId="0" applyFont="1" applyFill="1" applyBorder="1" applyAlignment="1">
      <alignment horizontal="center" vertical="center"/>
    </xf>
    <xf numFmtId="0" fontId="3" fillId="0" borderId="7" xfId="0" applyFont="1" applyFill="1" applyBorder="1" applyAlignment="1">
      <alignment horizontal="center" vertical="center"/>
    </xf>
    <xf numFmtId="0" fontId="8" fillId="0" borderId="31" xfId="0" applyFont="1" applyFill="1" applyBorder="1" applyAlignment="1">
      <alignment horizontal="left" vertical="center"/>
    </xf>
    <xf numFmtId="0" fontId="8" fillId="0" borderId="14" xfId="0" applyFont="1" applyFill="1" applyBorder="1" applyAlignment="1">
      <alignment horizontal="left" vertical="center"/>
    </xf>
    <xf numFmtId="0" fontId="8" fillId="0" borderId="20" xfId="0" applyFont="1" applyFill="1" applyBorder="1" applyAlignment="1">
      <alignment horizontal="left" vertical="center"/>
    </xf>
    <xf numFmtId="0" fontId="8" fillId="0" borderId="7" xfId="0" applyFont="1" applyFill="1" applyBorder="1" applyAlignment="1">
      <alignment horizontal="left" vertical="center" wrapText="1"/>
    </xf>
    <xf numFmtId="0" fontId="8" fillId="0" borderId="0" xfId="0" applyFont="1" applyFill="1" applyBorder="1" applyAlignment="1">
      <alignment horizontal="center"/>
    </xf>
    <xf numFmtId="0" fontId="3" fillId="0" borderId="5" xfId="0" applyFont="1" applyFill="1" applyBorder="1" applyAlignment="1">
      <alignment wrapText="1"/>
    </xf>
    <xf numFmtId="0" fontId="8" fillId="0" borderId="31" xfId="0" applyFont="1" applyFill="1" applyBorder="1" applyAlignment="1">
      <alignment horizontal="left" vertical="center" wrapText="1"/>
    </xf>
    <xf numFmtId="0" fontId="8" fillId="0" borderId="14" xfId="0" applyFont="1" applyFill="1" applyBorder="1" applyAlignment="1">
      <alignment horizontal="left" vertical="center" wrapText="1"/>
    </xf>
    <xf numFmtId="0" fontId="3" fillId="0" borderId="18" xfId="0" applyFont="1" applyBorder="1" applyAlignment="1">
      <alignment horizontal="center"/>
    </xf>
    <xf numFmtId="0" fontId="8" fillId="0" borderId="7" xfId="0" applyFont="1" applyBorder="1" applyAlignment="1">
      <alignment horizontal="center"/>
    </xf>
    <xf numFmtId="0" fontId="16" fillId="0" borderId="0" xfId="0" applyFont="1" applyFill="1" applyBorder="1" applyAlignment="1" applyProtection="1">
      <alignment horizontal="center" vertical="center"/>
      <protection locked="0"/>
    </xf>
    <xf numFmtId="0" fontId="8" fillId="0" borderId="0" xfId="0" applyFont="1" applyFill="1" applyBorder="1" applyAlignment="1" applyProtection="1">
      <alignment vertical="center" wrapText="1"/>
      <protection locked="0"/>
    </xf>
    <xf numFmtId="0" fontId="8" fillId="0" borderId="0" xfId="0" applyFont="1" applyFill="1" applyBorder="1" applyAlignment="1" applyProtection="1">
      <alignment horizontal="left" vertical="center"/>
      <protection locked="0"/>
    </xf>
    <xf numFmtId="3" fontId="3" fillId="0" borderId="0" xfId="0" applyNumberFormat="1" applyFont="1" applyAlignment="1" applyProtection="1">
      <alignment horizontal="right"/>
      <protection locked="0"/>
    </xf>
    <xf numFmtId="0" fontId="8" fillId="4" borderId="7" xfId="0" applyFont="1" applyFill="1" applyBorder="1" applyAlignment="1" applyProtection="1">
      <protection locked="0"/>
    </xf>
    <xf numFmtId="0" fontId="8" fillId="0" borderId="0" xfId="0" applyFont="1" applyFill="1" applyBorder="1" applyAlignment="1" applyProtection="1">
      <protection locked="0"/>
    </xf>
    <xf numFmtId="0" fontId="8" fillId="0" borderId="0" xfId="0" applyFont="1" applyProtection="1">
      <protection locked="0"/>
    </xf>
    <xf numFmtId="0" fontId="8" fillId="0" borderId="12" xfId="0" applyFont="1" applyBorder="1" applyProtection="1">
      <protection locked="0"/>
    </xf>
    <xf numFmtId="0" fontId="8" fillId="0" borderId="0" xfId="0" applyFont="1" applyFill="1" applyBorder="1" applyProtection="1">
      <protection locked="0"/>
    </xf>
    <xf numFmtId="0" fontId="8" fillId="0" borderId="0" xfId="0" applyFont="1" applyFill="1" applyBorder="1" applyAlignment="1" applyProtection="1">
      <alignment horizontal="left" wrapText="1"/>
      <protection locked="0"/>
    </xf>
    <xf numFmtId="0" fontId="8" fillId="0" borderId="0" xfId="0" applyFont="1" applyFill="1" applyAlignment="1" applyProtection="1">
      <alignment vertical="center"/>
      <protection locked="0"/>
    </xf>
    <xf numFmtId="0" fontId="17" fillId="0" borderId="17" xfId="0" applyFont="1" applyFill="1" applyBorder="1" applyAlignment="1" applyProtection="1">
      <protection locked="0"/>
    </xf>
    <xf numFmtId="0" fontId="17" fillId="0" borderId="16" xfId="0" applyFont="1" applyFill="1" applyBorder="1" applyAlignment="1" applyProtection="1">
      <protection locked="0"/>
    </xf>
    <xf numFmtId="0" fontId="17" fillId="0" borderId="18" xfId="0" applyFont="1" applyFill="1" applyBorder="1" applyAlignment="1" applyProtection="1">
      <protection locked="0"/>
    </xf>
    <xf numFmtId="0" fontId="17" fillId="0" borderId="0" xfId="0" applyFont="1" applyFill="1" applyBorder="1" applyAlignment="1" applyProtection="1">
      <protection locked="0"/>
    </xf>
    <xf numFmtId="3" fontId="8" fillId="0" borderId="0" xfId="0" applyNumberFormat="1" applyFont="1" applyAlignment="1" applyProtection="1">
      <alignment horizontal="center" vertical="center" wrapText="1"/>
      <protection locked="0"/>
    </xf>
    <xf numFmtId="0" fontId="17" fillId="0" borderId="7" xfId="0" applyFont="1" applyBorder="1" applyAlignment="1" applyProtection="1">
      <protection locked="0"/>
    </xf>
    <xf numFmtId="0" fontId="8" fillId="0" borderId="0" xfId="0" applyFont="1" applyFill="1" applyBorder="1" applyAlignment="1" applyProtection="1">
      <alignment wrapText="1"/>
      <protection locked="0"/>
    </xf>
    <xf numFmtId="0" fontId="17" fillId="0" borderId="0" xfId="0" applyFont="1" applyProtection="1">
      <protection locked="0"/>
    </xf>
    <xf numFmtId="0" fontId="17" fillId="0" borderId="0" xfId="0" applyFont="1" applyBorder="1" applyAlignment="1" applyProtection="1">
      <protection locked="0"/>
    </xf>
    <xf numFmtId="0" fontId="17" fillId="0" borderId="0" xfId="0" applyFont="1" applyBorder="1" applyAlignment="1" applyProtection="1">
      <alignment horizontal="center" wrapText="1"/>
      <protection locked="0"/>
    </xf>
    <xf numFmtId="0" fontId="8" fillId="0" borderId="15" xfId="0" applyFont="1" applyBorder="1" applyAlignment="1">
      <alignment horizontal="center"/>
    </xf>
    <xf numFmtId="0" fontId="8" fillId="0" borderId="0" xfId="0" applyFont="1" applyAlignment="1">
      <alignment horizontal="center"/>
    </xf>
    <xf numFmtId="165" fontId="3" fillId="0" borderId="0" xfId="2" applyNumberFormat="1" applyFont="1" applyBorder="1" applyAlignment="1">
      <alignment horizontal="center"/>
    </xf>
    <xf numFmtId="0" fontId="18" fillId="0" borderId="0" xfId="0" applyFont="1" applyFill="1" applyBorder="1"/>
    <xf numFmtId="0" fontId="8" fillId="4" borderId="13" xfId="0" applyFont="1" applyFill="1" applyBorder="1"/>
    <xf numFmtId="0" fontId="8" fillId="0" borderId="20" xfId="0" applyFont="1" applyFill="1" applyBorder="1"/>
    <xf numFmtId="165" fontId="8" fillId="0" borderId="12" xfId="2" applyNumberFormat="1" applyFont="1" applyBorder="1"/>
    <xf numFmtId="0" fontId="9" fillId="0" borderId="0" xfId="0" applyFont="1" applyAlignment="1">
      <alignment horizontal="center"/>
    </xf>
    <xf numFmtId="0" fontId="12" fillId="0" borderId="0" xfId="0" applyFont="1" applyAlignment="1">
      <alignment horizontal="left" vertical="top" wrapText="1"/>
    </xf>
    <xf numFmtId="0" fontId="12" fillId="0" borderId="0" xfId="0" applyFont="1" applyAlignment="1">
      <alignment horizontal="left" vertical="center" wrapText="1"/>
    </xf>
    <xf numFmtId="0" fontId="12" fillId="0" borderId="0" xfId="0" applyFont="1" applyAlignment="1">
      <alignment horizontal="center"/>
    </xf>
    <xf numFmtId="0" fontId="9" fillId="0" borderId="0" xfId="0" applyFont="1" applyAlignment="1">
      <alignment horizontal="center" wrapText="1"/>
    </xf>
    <xf numFmtId="0" fontId="8" fillId="0" borderId="37" xfId="0" applyFont="1" applyFill="1" applyBorder="1" applyAlignment="1">
      <alignment horizontal="left" vertical="center" wrapText="1"/>
    </xf>
    <xf numFmtId="0" fontId="8" fillId="0" borderId="38" xfId="0" applyFont="1" applyFill="1" applyBorder="1" applyAlignment="1">
      <alignment horizontal="left" vertical="center" wrapText="1"/>
    </xf>
    <xf numFmtId="0" fontId="8" fillId="0" borderId="39" xfId="0" applyFont="1" applyFill="1" applyBorder="1" applyAlignment="1">
      <alignment horizontal="left" vertical="center" wrapText="1"/>
    </xf>
    <xf numFmtId="0" fontId="3" fillId="0" borderId="40" xfId="0" applyFont="1" applyFill="1" applyBorder="1" applyAlignment="1">
      <alignment horizontal="center" vertical="center"/>
    </xf>
    <xf numFmtId="0" fontId="3" fillId="0" borderId="18" xfId="0" applyFont="1" applyFill="1" applyBorder="1" applyAlignment="1">
      <alignment horizontal="center" vertical="center"/>
    </xf>
    <xf numFmtId="3" fontId="3" fillId="0" borderId="17" xfId="0" applyNumberFormat="1" applyFont="1" applyFill="1" applyBorder="1" applyAlignment="1">
      <alignment horizontal="center" vertical="center"/>
    </xf>
    <xf numFmtId="3" fontId="3" fillId="0" borderId="16" xfId="0" applyNumberFormat="1" applyFont="1" applyFill="1" applyBorder="1" applyAlignment="1">
      <alignment horizontal="center" vertical="center"/>
    </xf>
    <xf numFmtId="3" fontId="3" fillId="0" borderId="41" xfId="0" applyNumberFormat="1" applyFont="1" applyFill="1" applyBorder="1" applyAlignment="1">
      <alignment horizontal="center" vertical="center"/>
    </xf>
    <xf numFmtId="0" fontId="3" fillId="0" borderId="40" xfId="0" applyFont="1" applyFill="1" applyBorder="1" applyAlignment="1">
      <alignment horizontal="right" vertical="center"/>
    </xf>
    <xf numFmtId="0" fontId="3" fillId="0" borderId="18" xfId="0" applyFont="1" applyFill="1" applyBorder="1" applyAlignment="1">
      <alignment horizontal="right" vertical="center"/>
    </xf>
    <xf numFmtId="3" fontId="8" fillId="0" borderId="17" xfId="0" applyNumberFormat="1" applyFont="1" applyFill="1" applyBorder="1" applyAlignment="1">
      <alignment horizontal="center" vertical="center" wrapText="1"/>
    </xf>
    <xf numFmtId="3" fontId="8" fillId="0" borderId="16" xfId="0" applyNumberFormat="1" applyFont="1" applyFill="1" applyBorder="1" applyAlignment="1">
      <alignment horizontal="center" vertical="center" wrapText="1"/>
    </xf>
    <xf numFmtId="0" fontId="3" fillId="0" borderId="19" xfId="0" applyFont="1" applyFill="1" applyBorder="1" applyAlignment="1">
      <alignment horizontal="center" vertical="center"/>
    </xf>
    <xf numFmtId="0" fontId="3" fillId="0" borderId="20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  <xf numFmtId="0" fontId="3" fillId="0" borderId="11" xfId="0" applyFont="1" applyFill="1" applyBorder="1" applyAlignment="1">
      <alignment horizontal="center" vertical="center"/>
    </xf>
    <xf numFmtId="0" fontId="8" fillId="0" borderId="17" xfId="0" applyFont="1" applyFill="1" applyBorder="1" applyAlignment="1">
      <alignment horizontal="center" vertical="center" wrapText="1"/>
    </xf>
    <xf numFmtId="0" fontId="8" fillId="0" borderId="16" xfId="0" applyFont="1" applyFill="1" applyBorder="1" applyAlignment="1">
      <alignment horizontal="center" vertical="center" wrapText="1"/>
    </xf>
    <xf numFmtId="0" fontId="8" fillId="0" borderId="18" xfId="0" applyFont="1" applyFill="1" applyBorder="1" applyAlignment="1">
      <alignment horizontal="center" vertical="center" wrapText="1"/>
    </xf>
    <xf numFmtId="0" fontId="8" fillId="3" borderId="17" xfId="0" applyFont="1" applyFill="1" applyBorder="1" applyAlignment="1">
      <alignment horizontal="center" vertical="center"/>
    </xf>
    <xf numFmtId="0" fontId="8" fillId="3" borderId="16" xfId="0" applyFont="1" applyFill="1" applyBorder="1" applyAlignment="1">
      <alignment horizontal="center" vertical="center"/>
    </xf>
    <xf numFmtId="0" fontId="8" fillId="3" borderId="41" xfId="0" applyFont="1" applyFill="1" applyBorder="1" applyAlignment="1">
      <alignment horizontal="center" vertical="center"/>
    </xf>
    <xf numFmtId="0" fontId="8" fillId="0" borderId="5" xfId="0" applyFont="1" applyFill="1" applyBorder="1" applyAlignment="1">
      <alignment horizontal="left" vertical="top" wrapText="1"/>
    </xf>
    <xf numFmtId="0" fontId="8" fillId="0" borderId="0" xfId="0" applyFont="1" applyFill="1" applyAlignment="1">
      <alignment horizontal="left" vertical="top" wrapText="1"/>
    </xf>
    <xf numFmtId="0" fontId="8" fillId="0" borderId="42" xfId="0" applyFont="1" applyFill="1" applyBorder="1" applyAlignment="1">
      <alignment horizontal="left" vertical="center"/>
    </xf>
    <xf numFmtId="0" fontId="8" fillId="0" borderId="43" xfId="0" applyFont="1" applyFill="1" applyBorder="1" applyAlignment="1">
      <alignment horizontal="left" vertical="center"/>
    </xf>
    <xf numFmtId="0" fontId="8" fillId="0" borderId="46" xfId="0" applyFont="1" applyFill="1" applyBorder="1" applyAlignment="1">
      <alignment horizontal="left" vertical="center"/>
    </xf>
    <xf numFmtId="0" fontId="3" fillId="0" borderId="45" xfId="0" applyFont="1" applyFill="1" applyBorder="1" applyAlignment="1">
      <alignment horizontal="right" vertical="center"/>
    </xf>
    <xf numFmtId="0" fontId="3" fillId="0" borderId="44" xfId="0" applyFont="1" applyFill="1" applyBorder="1" applyAlignment="1">
      <alignment horizontal="right" vertical="center"/>
    </xf>
    <xf numFmtId="3" fontId="3" fillId="2" borderId="17" xfId="0" applyNumberFormat="1" applyFont="1" applyFill="1" applyBorder="1" applyAlignment="1">
      <alignment horizontal="center" vertical="center"/>
    </xf>
    <xf numFmtId="3" fontId="3" fillId="2" borderId="16" xfId="0" applyNumberFormat="1" applyFont="1" applyFill="1" applyBorder="1" applyAlignment="1">
      <alignment horizontal="center" vertical="center"/>
    </xf>
    <xf numFmtId="3" fontId="3" fillId="2" borderId="41" xfId="0" applyNumberFormat="1" applyFont="1" applyFill="1" applyBorder="1" applyAlignment="1">
      <alignment horizontal="center" vertical="center"/>
    </xf>
    <xf numFmtId="3" fontId="8" fillId="0" borderId="18" xfId="0" applyNumberFormat="1" applyFont="1" applyFill="1" applyBorder="1" applyAlignment="1">
      <alignment horizontal="center" vertical="center" wrapText="1"/>
    </xf>
    <xf numFmtId="3" fontId="8" fillId="0" borderId="41" xfId="0" applyNumberFormat="1" applyFont="1" applyFill="1" applyBorder="1" applyAlignment="1">
      <alignment horizontal="center" vertical="center" wrapText="1"/>
    </xf>
    <xf numFmtId="0" fontId="15" fillId="6" borderId="19" xfId="0" applyFont="1" applyFill="1" applyBorder="1" applyAlignment="1">
      <alignment horizontal="left" vertical="center" wrapText="1"/>
    </xf>
    <xf numFmtId="0" fontId="15" fillId="6" borderId="5" xfId="0" applyFont="1" applyFill="1" applyBorder="1" applyAlignment="1">
      <alignment horizontal="left" vertical="center" wrapText="1"/>
    </xf>
    <xf numFmtId="0" fontId="3" fillId="0" borderId="30" xfId="0" applyFont="1" applyFill="1" applyBorder="1" applyAlignment="1">
      <alignment horizontal="center" vertical="center"/>
    </xf>
    <xf numFmtId="0" fontId="3" fillId="0" borderId="7" xfId="0" applyFont="1" applyFill="1" applyBorder="1" applyAlignment="1">
      <alignment horizontal="center" vertical="center"/>
    </xf>
    <xf numFmtId="3" fontId="3" fillId="2" borderId="18" xfId="0" applyNumberFormat="1" applyFont="1" applyFill="1" applyBorder="1" applyAlignment="1">
      <alignment horizontal="center" vertical="center"/>
    </xf>
    <xf numFmtId="0" fontId="3" fillId="0" borderId="17" xfId="0" applyFont="1" applyFill="1" applyBorder="1" applyAlignment="1">
      <alignment horizontal="right" vertical="center" wrapText="1"/>
    </xf>
    <xf numFmtId="0" fontId="3" fillId="0" borderId="16" xfId="0" applyFont="1" applyFill="1" applyBorder="1" applyAlignment="1">
      <alignment horizontal="right" vertical="center" wrapText="1"/>
    </xf>
    <xf numFmtId="0" fontId="3" fillId="0" borderId="18" xfId="0" applyFont="1" applyFill="1" applyBorder="1" applyAlignment="1">
      <alignment horizontal="right" vertical="center" wrapText="1"/>
    </xf>
    <xf numFmtId="0" fontId="8" fillId="0" borderId="32" xfId="0" applyFont="1" applyFill="1" applyBorder="1" applyAlignment="1">
      <alignment horizontal="left" vertical="center" wrapText="1"/>
    </xf>
    <xf numFmtId="0" fontId="8" fillId="0" borderId="12" xfId="0" applyFont="1" applyFill="1" applyBorder="1" applyAlignment="1">
      <alignment horizontal="left" vertical="center" wrapText="1"/>
    </xf>
    <xf numFmtId="0" fontId="8" fillId="0" borderId="53" xfId="0" applyFont="1" applyFill="1" applyBorder="1" applyAlignment="1">
      <alignment horizontal="left" vertical="center" wrapText="1"/>
    </xf>
    <xf numFmtId="0" fontId="15" fillId="5" borderId="19" xfId="0" applyFont="1" applyFill="1" applyBorder="1" applyAlignment="1">
      <alignment horizontal="center" wrapText="1"/>
    </xf>
    <xf numFmtId="0" fontId="15" fillId="5" borderId="14" xfId="0" applyFont="1" applyFill="1" applyBorder="1" applyAlignment="1">
      <alignment horizontal="center" wrapText="1"/>
    </xf>
    <xf numFmtId="0" fontId="15" fillId="5" borderId="20" xfId="0" applyFont="1" applyFill="1" applyBorder="1" applyAlignment="1">
      <alignment horizontal="center" wrapText="1"/>
    </xf>
    <xf numFmtId="0" fontId="15" fillId="5" borderId="21" xfId="0" applyFont="1" applyFill="1" applyBorder="1" applyAlignment="1">
      <alignment horizontal="center" wrapText="1"/>
    </xf>
    <xf numFmtId="0" fontId="15" fillId="5" borderId="15" xfId="0" applyFont="1" applyFill="1" applyBorder="1" applyAlignment="1">
      <alignment horizontal="center" wrapText="1"/>
    </xf>
    <xf numFmtId="0" fontId="15" fillId="5" borderId="22" xfId="0" applyFont="1" applyFill="1" applyBorder="1" applyAlignment="1">
      <alignment horizontal="center" wrapText="1"/>
    </xf>
    <xf numFmtId="3" fontId="8" fillId="3" borderId="17" xfId="0" applyNumberFormat="1" applyFont="1" applyFill="1" applyBorder="1" applyAlignment="1">
      <alignment horizontal="center" vertical="center"/>
    </xf>
    <xf numFmtId="3" fontId="8" fillId="3" borderId="16" xfId="0" applyNumberFormat="1" applyFont="1" applyFill="1" applyBorder="1" applyAlignment="1">
      <alignment horizontal="center" vertical="center"/>
    </xf>
    <xf numFmtId="3" fontId="8" fillId="3" borderId="41" xfId="0" applyNumberFormat="1" applyFont="1" applyFill="1" applyBorder="1" applyAlignment="1">
      <alignment horizontal="center" vertical="center"/>
    </xf>
    <xf numFmtId="0" fontId="15" fillId="2" borderId="19" xfId="0" applyFont="1" applyFill="1" applyBorder="1" applyAlignment="1">
      <alignment horizontal="center" wrapText="1"/>
    </xf>
    <xf numFmtId="0" fontId="15" fillId="2" borderId="14" xfId="0" applyFont="1" applyFill="1" applyBorder="1" applyAlignment="1">
      <alignment horizontal="center" wrapText="1"/>
    </xf>
    <xf numFmtId="0" fontId="15" fillId="2" borderId="20" xfId="0" applyFont="1" applyFill="1" applyBorder="1" applyAlignment="1">
      <alignment horizontal="center" wrapText="1"/>
    </xf>
    <xf numFmtId="0" fontId="15" fillId="2" borderId="21" xfId="0" applyFont="1" applyFill="1" applyBorder="1" applyAlignment="1">
      <alignment horizontal="center" wrapText="1"/>
    </xf>
    <xf numFmtId="0" fontId="15" fillId="2" borderId="15" xfId="0" applyFont="1" applyFill="1" applyBorder="1" applyAlignment="1">
      <alignment horizontal="center" wrapText="1"/>
    </xf>
    <xf numFmtId="0" fontId="15" fillId="2" borderId="22" xfId="0" applyFont="1" applyFill="1" applyBorder="1" applyAlignment="1">
      <alignment horizontal="center" wrapText="1"/>
    </xf>
    <xf numFmtId="0" fontId="8" fillId="0" borderId="0" xfId="0" applyFont="1" applyFill="1" applyAlignment="1">
      <alignment horizontal="right"/>
    </xf>
    <xf numFmtId="0" fontId="3" fillId="0" borderId="3" xfId="0" applyFont="1" applyFill="1" applyBorder="1" applyAlignment="1">
      <alignment horizontal="center"/>
    </xf>
    <xf numFmtId="0" fontId="8" fillId="0" borderId="0" xfId="0" applyFont="1" applyFill="1" applyBorder="1" applyAlignment="1">
      <alignment horizontal="center"/>
    </xf>
    <xf numFmtId="0" fontId="8" fillId="0" borderId="0" xfId="0" applyFont="1" applyFill="1" applyBorder="1" applyAlignment="1">
      <alignment horizontal="left"/>
    </xf>
    <xf numFmtId="0" fontId="8" fillId="0" borderId="5" xfId="0" applyFont="1" applyBorder="1" applyAlignment="1">
      <alignment horizontal="left" wrapText="1"/>
    </xf>
    <xf numFmtId="0" fontId="8" fillId="0" borderId="0" xfId="0" applyFont="1" applyBorder="1" applyAlignment="1">
      <alignment horizontal="left" wrapText="1"/>
    </xf>
    <xf numFmtId="165" fontId="8" fillId="0" borderId="23" xfId="2" applyNumberFormat="1" applyFont="1" applyFill="1" applyBorder="1" applyAlignment="1">
      <alignment horizontal="center" vertical="center"/>
    </xf>
    <xf numFmtId="165" fontId="8" fillId="0" borderId="24" xfId="2" applyNumberFormat="1" applyFont="1" applyFill="1" applyBorder="1" applyAlignment="1">
      <alignment horizontal="center" vertical="center"/>
    </xf>
    <xf numFmtId="165" fontId="8" fillId="0" borderId="7" xfId="2" applyNumberFormat="1" applyFont="1" applyFill="1" applyBorder="1" applyAlignment="1">
      <alignment horizontal="center" vertical="center"/>
    </xf>
    <xf numFmtId="165" fontId="8" fillId="0" borderId="25" xfId="2" applyNumberFormat="1" applyFont="1" applyFill="1" applyBorder="1" applyAlignment="1">
      <alignment horizontal="center" vertical="center"/>
    </xf>
    <xf numFmtId="165" fontId="8" fillId="4" borderId="7" xfId="2" applyNumberFormat="1" applyFont="1" applyFill="1" applyBorder="1" applyAlignment="1">
      <alignment horizontal="center" vertical="center"/>
    </xf>
    <xf numFmtId="165" fontId="8" fillId="4" borderId="25" xfId="2" applyNumberFormat="1" applyFont="1" applyFill="1" applyBorder="1" applyAlignment="1">
      <alignment horizontal="center" vertical="center"/>
    </xf>
    <xf numFmtId="0" fontId="3" fillId="0" borderId="26" xfId="0" applyFont="1" applyFill="1" applyBorder="1" applyAlignment="1">
      <alignment horizontal="center" vertical="center"/>
    </xf>
    <xf numFmtId="0" fontId="3" fillId="0" borderId="27" xfId="0" applyFont="1" applyFill="1" applyBorder="1" applyAlignment="1">
      <alignment horizontal="center" vertical="center"/>
    </xf>
    <xf numFmtId="0" fontId="8" fillId="0" borderId="7" xfId="0" applyFont="1" applyFill="1" applyBorder="1" applyAlignment="1">
      <alignment horizontal="left" vertical="center" wrapText="1"/>
    </xf>
    <xf numFmtId="1" fontId="8" fillId="0" borderId="7" xfId="0" applyNumberFormat="1" applyFont="1" applyFill="1" applyBorder="1" applyAlignment="1">
      <alignment horizontal="center" vertical="center"/>
    </xf>
    <xf numFmtId="1" fontId="8" fillId="0" borderId="25" xfId="0" applyNumberFormat="1" applyFont="1" applyFill="1" applyBorder="1" applyAlignment="1">
      <alignment horizontal="center" vertical="center"/>
    </xf>
    <xf numFmtId="0" fontId="3" fillId="0" borderId="29" xfId="0" applyFont="1" applyFill="1" applyBorder="1" applyAlignment="1">
      <alignment horizontal="center" vertical="center"/>
    </xf>
    <xf numFmtId="0" fontId="3" fillId="0" borderId="23" xfId="0" applyFont="1" applyFill="1" applyBorder="1" applyAlignment="1">
      <alignment horizontal="center" vertical="center"/>
    </xf>
    <xf numFmtId="0" fontId="3" fillId="0" borderId="47" xfId="0" applyFont="1" applyFill="1" applyBorder="1" applyAlignment="1">
      <alignment horizontal="left" vertical="center"/>
    </xf>
    <xf numFmtId="0" fontId="3" fillId="0" borderId="10" xfId="0" applyFont="1" applyFill="1" applyBorder="1" applyAlignment="1">
      <alignment horizontal="left" vertical="center"/>
    </xf>
    <xf numFmtId="0" fontId="3" fillId="0" borderId="48" xfId="0" applyFont="1" applyFill="1" applyBorder="1" applyAlignment="1">
      <alignment horizontal="left" vertical="center"/>
    </xf>
    <xf numFmtId="0" fontId="3" fillId="0" borderId="28" xfId="0" applyFont="1" applyFill="1" applyBorder="1" applyAlignment="1">
      <alignment horizontal="center" vertical="center"/>
    </xf>
    <xf numFmtId="0" fontId="15" fillId="5" borderId="5" xfId="0" applyFont="1" applyFill="1" applyBorder="1" applyAlignment="1">
      <alignment horizontal="center"/>
    </xf>
    <xf numFmtId="0" fontId="15" fillId="5" borderId="0" xfId="0" applyFont="1" applyFill="1" applyBorder="1" applyAlignment="1">
      <alignment horizontal="center"/>
    </xf>
    <xf numFmtId="0" fontId="15" fillId="5" borderId="11" xfId="0" applyFont="1" applyFill="1" applyBorder="1" applyAlignment="1">
      <alignment horizontal="center"/>
    </xf>
    <xf numFmtId="0" fontId="15" fillId="5" borderId="21" xfId="0" applyFont="1" applyFill="1" applyBorder="1" applyAlignment="1">
      <alignment horizontal="center"/>
    </xf>
    <xf numFmtId="0" fontId="15" fillId="5" borderId="15" xfId="0" applyFont="1" applyFill="1" applyBorder="1" applyAlignment="1">
      <alignment horizontal="center"/>
    </xf>
    <xf numFmtId="0" fontId="15" fillId="5" borderId="22" xfId="0" applyFont="1" applyFill="1" applyBorder="1" applyAlignment="1">
      <alignment horizontal="center"/>
    </xf>
    <xf numFmtId="0" fontId="8" fillId="0" borderId="36" xfId="0" applyFont="1" applyFill="1" applyBorder="1" applyAlignment="1">
      <alignment horizontal="left" vertical="center" wrapText="1"/>
    </xf>
    <xf numFmtId="3" fontId="8" fillId="0" borderId="17" xfId="0" applyNumberFormat="1" applyFont="1" applyFill="1" applyBorder="1" applyAlignment="1">
      <alignment horizontal="center" vertical="center"/>
    </xf>
    <xf numFmtId="0" fontId="8" fillId="0" borderId="16" xfId="0" applyFont="1" applyFill="1" applyBorder="1" applyAlignment="1">
      <alignment horizontal="center" vertical="center"/>
    </xf>
    <xf numFmtId="0" fontId="8" fillId="0" borderId="41" xfId="0" applyFont="1" applyFill="1" applyBorder="1" applyAlignment="1">
      <alignment horizontal="center" vertical="center"/>
    </xf>
    <xf numFmtId="0" fontId="15" fillId="5" borderId="2" xfId="0" applyFont="1" applyFill="1" applyBorder="1" applyAlignment="1">
      <alignment horizontal="center"/>
    </xf>
    <xf numFmtId="0" fontId="15" fillId="5" borderId="3" xfId="0" applyFont="1" applyFill="1" applyBorder="1" applyAlignment="1">
      <alignment horizontal="center"/>
    </xf>
    <xf numFmtId="0" fontId="15" fillId="5" borderId="4" xfId="0" applyFont="1" applyFill="1" applyBorder="1" applyAlignment="1">
      <alignment horizontal="center"/>
    </xf>
    <xf numFmtId="0" fontId="8" fillId="5" borderId="21" xfId="0" applyFont="1" applyFill="1" applyBorder="1" applyAlignment="1">
      <alignment horizontal="center"/>
    </xf>
    <xf numFmtId="0" fontId="8" fillId="5" borderId="15" xfId="0" applyFont="1" applyFill="1" applyBorder="1" applyAlignment="1">
      <alignment horizontal="center"/>
    </xf>
    <xf numFmtId="0" fontId="8" fillId="5" borderId="35" xfId="0" applyFont="1" applyFill="1" applyBorder="1" applyAlignment="1">
      <alignment horizontal="center"/>
    </xf>
    <xf numFmtId="0" fontId="3" fillId="0" borderId="5" xfId="0" applyFont="1" applyFill="1" applyBorder="1" applyAlignment="1">
      <alignment wrapText="1"/>
    </xf>
    <xf numFmtId="0" fontId="3" fillId="0" borderId="34" xfId="0" applyFont="1" applyFill="1" applyBorder="1" applyAlignment="1">
      <alignment horizontal="center" vertical="center"/>
    </xf>
    <xf numFmtId="0" fontId="3" fillId="0" borderId="33" xfId="0" applyFont="1" applyFill="1" applyBorder="1" applyAlignment="1">
      <alignment horizontal="center" vertical="center"/>
    </xf>
    <xf numFmtId="0" fontId="8" fillId="0" borderId="31" xfId="0" applyFont="1" applyFill="1" applyBorder="1" applyAlignment="1">
      <alignment horizontal="left" vertical="center" wrapText="1"/>
    </xf>
    <xf numFmtId="0" fontId="8" fillId="0" borderId="14" xfId="0" applyFont="1" applyFill="1" applyBorder="1" applyAlignment="1">
      <alignment horizontal="left" vertical="center" wrapText="1"/>
    </xf>
    <xf numFmtId="0" fontId="8" fillId="0" borderId="20" xfId="0" applyFont="1" applyFill="1" applyBorder="1" applyAlignment="1">
      <alignment horizontal="left" vertical="center" wrapText="1"/>
    </xf>
    <xf numFmtId="0" fontId="8" fillId="0" borderId="33" xfId="0" applyFont="1" applyFill="1" applyBorder="1" applyAlignment="1">
      <alignment horizontal="left" vertical="center" wrapText="1"/>
    </xf>
    <xf numFmtId="165" fontId="8" fillId="0" borderId="36" xfId="2" applyNumberFormat="1" applyFont="1" applyFill="1" applyBorder="1" applyAlignment="1">
      <alignment horizontal="center" vertical="center"/>
    </xf>
    <xf numFmtId="165" fontId="8" fillId="0" borderId="51" xfId="2" applyNumberFormat="1" applyFont="1" applyFill="1" applyBorder="1" applyAlignment="1">
      <alignment horizontal="center" vertical="center"/>
    </xf>
    <xf numFmtId="0" fontId="8" fillId="0" borderId="7" xfId="0" applyFont="1" applyFill="1" applyBorder="1" applyAlignment="1">
      <alignment horizontal="left" vertical="center"/>
    </xf>
    <xf numFmtId="0" fontId="3" fillId="0" borderId="0" xfId="0" applyFont="1" applyFill="1" applyBorder="1" applyAlignment="1">
      <alignment horizontal="left" vertical="center" wrapText="1"/>
    </xf>
    <xf numFmtId="0" fontId="8" fillId="0" borderId="23" xfId="0" applyFont="1" applyFill="1" applyBorder="1" applyAlignment="1">
      <alignment horizontal="left" vertical="center"/>
    </xf>
    <xf numFmtId="0" fontId="8" fillId="0" borderId="0" xfId="0" applyFont="1" applyFill="1" applyBorder="1" applyAlignment="1">
      <alignment horizontal="left" wrapText="1"/>
    </xf>
    <xf numFmtId="0" fontId="8" fillId="0" borderId="16" xfId="0" applyFont="1" applyFill="1" applyBorder="1" applyAlignment="1">
      <alignment horizontal="left" vertical="center" wrapText="1"/>
    </xf>
    <xf numFmtId="0" fontId="8" fillId="0" borderId="18" xfId="0" applyFont="1" applyFill="1" applyBorder="1" applyAlignment="1">
      <alignment horizontal="left" vertical="center" wrapText="1"/>
    </xf>
    <xf numFmtId="1" fontId="8" fillId="0" borderId="13" xfId="0" applyNumberFormat="1" applyFont="1" applyFill="1" applyBorder="1" applyAlignment="1">
      <alignment horizontal="center" vertical="center"/>
    </xf>
    <xf numFmtId="1" fontId="8" fillId="0" borderId="49" xfId="0" applyNumberFormat="1" applyFont="1" applyFill="1" applyBorder="1" applyAlignment="1">
      <alignment horizontal="center" vertical="center"/>
    </xf>
    <xf numFmtId="1" fontId="8" fillId="4" borderId="50" xfId="0" applyNumberFormat="1" applyFont="1" applyFill="1" applyBorder="1" applyAlignment="1">
      <alignment horizontal="center" vertical="center"/>
    </xf>
    <xf numFmtId="1" fontId="8" fillId="4" borderId="0" xfId="0" applyNumberFormat="1" applyFont="1" applyFill="1" applyBorder="1" applyAlignment="1">
      <alignment horizontal="center" vertical="center"/>
    </xf>
    <xf numFmtId="1" fontId="8" fillId="4" borderId="1" xfId="0" applyNumberFormat="1" applyFont="1" applyFill="1" applyBorder="1" applyAlignment="1">
      <alignment horizontal="center" vertical="center"/>
    </xf>
    <xf numFmtId="165" fontId="8" fillId="4" borderId="17" xfId="2" applyNumberFormat="1" applyFont="1" applyFill="1" applyBorder="1" applyAlignment="1">
      <alignment horizontal="center" vertical="center"/>
    </xf>
    <xf numFmtId="165" fontId="8" fillId="4" borderId="16" xfId="2" applyNumberFormat="1" applyFont="1" applyFill="1" applyBorder="1" applyAlignment="1">
      <alignment horizontal="center" vertical="center"/>
    </xf>
    <xf numFmtId="165" fontId="8" fillId="4" borderId="18" xfId="2" applyNumberFormat="1" applyFont="1" applyFill="1" applyBorder="1" applyAlignment="1">
      <alignment horizontal="center" vertical="center"/>
    </xf>
    <xf numFmtId="0" fontId="8" fillId="0" borderId="31" xfId="0" applyFont="1" applyFill="1" applyBorder="1" applyAlignment="1">
      <alignment horizontal="left" vertical="center"/>
    </xf>
    <xf numFmtId="0" fontId="8" fillId="0" borderId="14" xfId="0" applyFont="1" applyFill="1" applyBorder="1" applyAlignment="1">
      <alignment horizontal="left" vertical="center"/>
    </xf>
    <xf numFmtId="0" fontId="8" fillId="0" borderId="20" xfId="0" applyFont="1" applyFill="1" applyBorder="1" applyAlignment="1">
      <alignment horizontal="left" vertical="center"/>
    </xf>
    <xf numFmtId="0" fontId="8" fillId="0" borderId="32" xfId="0" applyFont="1" applyFill="1" applyBorder="1" applyAlignment="1">
      <alignment horizontal="left" vertical="center"/>
    </xf>
    <xf numFmtId="0" fontId="8" fillId="0" borderId="12" xfId="0" applyFont="1" applyFill="1" applyBorder="1" applyAlignment="1">
      <alignment horizontal="left" vertical="center"/>
    </xf>
    <xf numFmtId="0" fontId="8" fillId="0" borderId="33" xfId="0" applyFont="1" applyFill="1" applyBorder="1" applyAlignment="1">
      <alignment horizontal="left" vertical="center"/>
    </xf>
    <xf numFmtId="49" fontId="8" fillId="4" borderId="31" xfId="0" applyNumberFormat="1" applyFont="1" applyFill="1" applyBorder="1" applyAlignment="1">
      <alignment horizontal="left"/>
    </xf>
    <xf numFmtId="49" fontId="8" fillId="4" borderId="14" xfId="0" applyNumberFormat="1" applyFont="1" applyFill="1" applyBorder="1" applyAlignment="1">
      <alignment horizontal="left"/>
    </xf>
    <xf numFmtId="49" fontId="8" fillId="4" borderId="20" xfId="0" applyNumberFormat="1" applyFont="1" applyFill="1" applyBorder="1" applyAlignment="1">
      <alignment horizontal="left"/>
    </xf>
    <xf numFmtId="49" fontId="8" fillId="4" borderId="17" xfId="0" applyNumberFormat="1" applyFont="1" applyFill="1" applyBorder="1" applyAlignment="1">
      <alignment horizontal="left"/>
    </xf>
    <xf numFmtId="49" fontId="8" fillId="4" borderId="16" xfId="0" applyNumberFormat="1" applyFont="1" applyFill="1" applyBorder="1" applyAlignment="1">
      <alignment horizontal="left"/>
    </xf>
    <xf numFmtId="49" fontId="8" fillId="4" borderId="18" xfId="0" applyNumberFormat="1" applyFont="1" applyFill="1" applyBorder="1" applyAlignment="1">
      <alignment horizontal="left"/>
    </xf>
    <xf numFmtId="49" fontId="8" fillId="4" borderId="17" xfId="0" applyNumberFormat="1" applyFont="1" applyFill="1" applyBorder="1" applyAlignment="1">
      <alignment horizontal="center"/>
    </xf>
    <xf numFmtId="49" fontId="8" fillId="4" borderId="16" xfId="0" applyNumberFormat="1" applyFont="1" applyFill="1" applyBorder="1" applyAlignment="1">
      <alignment horizontal="center"/>
    </xf>
    <xf numFmtId="49" fontId="8" fillId="4" borderId="18" xfId="0" applyNumberFormat="1" applyFont="1" applyFill="1" applyBorder="1" applyAlignment="1">
      <alignment horizontal="center"/>
    </xf>
    <xf numFmtId="14" fontId="8" fillId="4" borderId="17" xfId="0" applyNumberFormat="1" applyFont="1" applyFill="1" applyBorder="1" applyAlignment="1">
      <alignment horizontal="center"/>
    </xf>
    <xf numFmtId="14" fontId="8" fillId="4" borderId="16" xfId="0" applyNumberFormat="1" applyFont="1" applyFill="1" applyBorder="1" applyAlignment="1">
      <alignment horizontal="center"/>
    </xf>
    <xf numFmtId="14" fontId="8" fillId="4" borderId="18" xfId="0" applyNumberFormat="1" applyFont="1" applyFill="1" applyBorder="1" applyAlignment="1">
      <alignment horizontal="center"/>
    </xf>
    <xf numFmtId="49" fontId="8" fillId="4" borderId="37" xfId="0" applyNumberFormat="1" applyFont="1" applyFill="1" applyBorder="1" applyAlignment="1">
      <alignment horizontal="center" vertical="center" wrapText="1"/>
    </xf>
    <xf numFmtId="49" fontId="8" fillId="4" borderId="38" xfId="0" applyNumberFormat="1" applyFont="1" applyFill="1" applyBorder="1" applyAlignment="1">
      <alignment horizontal="center" vertical="center" wrapText="1"/>
    </xf>
    <xf numFmtId="49" fontId="8" fillId="4" borderId="39" xfId="0" applyNumberFormat="1" applyFont="1" applyFill="1" applyBorder="1" applyAlignment="1">
      <alignment horizontal="center" vertical="center" wrapText="1"/>
    </xf>
    <xf numFmtId="0" fontId="3" fillId="0" borderId="42" xfId="0" applyFont="1" applyFill="1" applyBorder="1" applyAlignment="1">
      <alignment horizontal="right" vertical="center" wrapText="1"/>
    </xf>
    <xf numFmtId="0" fontId="3" fillId="0" borderId="43" xfId="0" applyFont="1" applyFill="1" applyBorder="1" applyAlignment="1">
      <alignment horizontal="right" vertical="center" wrapText="1"/>
    </xf>
    <xf numFmtId="0" fontId="3" fillId="0" borderId="44" xfId="0" applyFont="1" applyFill="1" applyBorder="1" applyAlignment="1">
      <alignment horizontal="right" vertical="center" wrapText="1"/>
    </xf>
    <xf numFmtId="165" fontId="3" fillId="4" borderId="17" xfId="2" applyNumberFormat="1" applyFont="1" applyFill="1" applyBorder="1" applyAlignment="1">
      <alignment vertical="center" wrapText="1"/>
    </xf>
    <xf numFmtId="165" fontId="3" fillId="4" borderId="16" xfId="2" applyNumberFormat="1" applyFont="1" applyFill="1" applyBorder="1" applyAlignment="1">
      <alignment vertical="center" wrapText="1"/>
    </xf>
    <xf numFmtId="165" fontId="3" fillId="4" borderId="18" xfId="2" applyNumberFormat="1" applyFont="1" applyFill="1" applyBorder="1" applyAlignment="1">
      <alignment vertical="center" wrapText="1"/>
    </xf>
    <xf numFmtId="0" fontId="8" fillId="0" borderId="17" xfId="0" applyFont="1" applyFill="1" applyBorder="1" applyAlignment="1">
      <alignment horizontal="left" wrapText="1"/>
    </xf>
    <xf numFmtId="0" fontId="8" fillId="0" borderId="16" xfId="0" applyFont="1" applyFill="1" applyBorder="1" applyAlignment="1">
      <alignment horizontal="left" wrapText="1"/>
    </xf>
    <xf numFmtId="0" fontId="8" fillId="0" borderId="18" xfId="0" applyFont="1" applyFill="1" applyBorder="1" applyAlignment="1">
      <alignment horizontal="left" wrapText="1"/>
    </xf>
    <xf numFmtId="0" fontId="8" fillId="0" borderId="52" xfId="0" applyFont="1" applyFill="1" applyBorder="1" applyAlignment="1">
      <alignment horizontal="left" vertical="center"/>
    </xf>
    <xf numFmtId="165" fontId="3" fillId="4" borderId="31" xfId="2" applyNumberFormat="1" applyFont="1" applyFill="1" applyBorder="1" applyAlignment="1">
      <alignment vertical="center" wrapText="1"/>
    </xf>
    <xf numFmtId="165" fontId="3" fillId="4" borderId="14" xfId="2" applyNumberFormat="1" applyFont="1" applyFill="1" applyBorder="1" applyAlignment="1">
      <alignment vertical="center" wrapText="1"/>
    </xf>
    <xf numFmtId="165" fontId="3" fillId="4" borderId="20" xfId="2" applyNumberFormat="1" applyFont="1" applyFill="1" applyBorder="1" applyAlignment="1">
      <alignment vertical="center" wrapText="1"/>
    </xf>
    <xf numFmtId="165" fontId="8" fillId="4" borderId="31" xfId="2" applyNumberFormat="1" applyFont="1" applyFill="1" applyBorder="1" applyAlignment="1">
      <alignment horizontal="center" vertical="center"/>
    </xf>
    <xf numFmtId="165" fontId="8" fillId="4" borderId="14" xfId="2" applyNumberFormat="1" applyFont="1" applyFill="1" applyBorder="1" applyAlignment="1">
      <alignment horizontal="center" vertical="center"/>
    </xf>
    <xf numFmtId="165" fontId="8" fillId="4" borderId="52" xfId="2" applyNumberFormat="1" applyFont="1" applyFill="1" applyBorder="1" applyAlignment="1">
      <alignment horizontal="center" vertical="center"/>
    </xf>
    <xf numFmtId="165" fontId="8" fillId="4" borderId="32" xfId="2" applyNumberFormat="1" applyFont="1" applyFill="1" applyBorder="1" applyAlignment="1">
      <alignment horizontal="center" vertical="center"/>
    </xf>
    <xf numFmtId="165" fontId="8" fillId="4" borderId="12" xfId="2" applyNumberFormat="1" applyFont="1" applyFill="1" applyBorder="1" applyAlignment="1">
      <alignment horizontal="center" vertical="center"/>
    </xf>
    <xf numFmtId="165" fontId="8" fillId="4" borderId="53" xfId="2" applyNumberFormat="1" applyFont="1" applyFill="1" applyBorder="1" applyAlignment="1">
      <alignment horizontal="center" vertical="center"/>
    </xf>
    <xf numFmtId="3" fontId="8" fillId="4" borderId="17" xfId="0" applyNumberFormat="1" applyFont="1" applyFill="1" applyBorder="1" applyAlignment="1">
      <alignment horizontal="center"/>
    </xf>
    <xf numFmtId="3" fontId="8" fillId="4" borderId="18" xfId="0" applyNumberFormat="1" applyFont="1" applyFill="1" applyBorder="1" applyAlignment="1">
      <alignment horizontal="center"/>
    </xf>
    <xf numFmtId="0" fontId="8" fillId="4" borderId="17" xfId="0" applyFont="1" applyFill="1" applyBorder="1" applyAlignment="1">
      <alignment horizontal="left"/>
    </xf>
    <xf numFmtId="0" fontId="8" fillId="4" borderId="16" xfId="0" applyFont="1" applyFill="1" applyBorder="1" applyAlignment="1">
      <alignment horizontal="left"/>
    </xf>
    <xf numFmtId="0" fontId="8" fillId="4" borderId="18" xfId="0" applyFont="1" applyFill="1" applyBorder="1" applyAlignment="1">
      <alignment horizontal="left"/>
    </xf>
    <xf numFmtId="3" fontId="8" fillId="4" borderId="17" xfId="0" applyNumberFormat="1" applyFont="1" applyFill="1" applyBorder="1" applyAlignment="1">
      <alignment horizontal="center" vertical="center" wrapText="1"/>
    </xf>
    <xf numFmtId="3" fontId="8" fillId="4" borderId="16" xfId="0" applyNumberFormat="1" applyFont="1" applyFill="1" applyBorder="1" applyAlignment="1">
      <alignment horizontal="center" vertical="center" wrapText="1"/>
    </xf>
    <xf numFmtId="3" fontId="8" fillId="4" borderId="18" xfId="0" applyNumberFormat="1" applyFont="1" applyFill="1" applyBorder="1" applyAlignment="1">
      <alignment horizontal="center" vertical="center" wrapText="1"/>
    </xf>
    <xf numFmtId="0" fontId="8" fillId="0" borderId="17" xfId="0" applyFont="1" applyFill="1" applyBorder="1" applyAlignment="1">
      <alignment horizontal="left" vertical="center"/>
    </xf>
    <xf numFmtId="0" fontId="8" fillId="0" borderId="16" xfId="0" applyFont="1" applyFill="1" applyBorder="1" applyAlignment="1">
      <alignment horizontal="left" vertical="center"/>
    </xf>
    <xf numFmtId="0" fontId="8" fillId="0" borderId="18" xfId="0" applyFont="1" applyFill="1" applyBorder="1" applyAlignment="1">
      <alignment horizontal="left" vertical="center"/>
    </xf>
    <xf numFmtId="0" fontId="8" fillId="0" borderId="17" xfId="0" applyFont="1" applyFill="1" applyBorder="1" applyAlignment="1">
      <alignment horizontal="left" vertical="center" wrapText="1"/>
    </xf>
    <xf numFmtId="0" fontId="8" fillId="0" borderId="5" xfId="0" applyFont="1" applyBorder="1" applyAlignment="1">
      <alignment horizontal="left" vertical="center" wrapText="1"/>
    </xf>
    <xf numFmtId="0" fontId="8" fillId="0" borderId="0" xfId="0" applyFont="1" applyBorder="1" applyAlignment="1">
      <alignment horizontal="left" vertical="center" wrapText="1"/>
    </xf>
    <xf numFmtId="0" fontId="17" fillId="0" borderId="14" xfId="0" applyFont="1" applyBorder="1" applyAlignment="1" applyProtection="1">
      <alignment horizontal="center" wrapText="1"/>
      <protection locked="0"/>
    </xf>
    <xf numFmtId="0" fontId="17" fillId="0" borderId="0" xfId="0" applyFont="1" applyBorder="1" applyAlignment="1" applyProtection="1">
      <alignment horizontal="center" wrapText="1"/>
      <protection locked="0"/>
    </xf>
    <xf numFmtId="14" fontId="8" fillId="4" borderId="31" xfId="0" applyNumberFormat="1" applyFont="1" applyFill="1" applyBorder="1" applyAlignment="1" applyProtection="1">
      <alignment horizontal="center"/>
      <protection locked="0"/>
    </xf>
    <xf numFmtId="14" fontId="8" fillId="4" borderId="20" xfId="0" applyNumberFormat="1" applyFont="1" applyFill="1" applyBorder="1" applyAlignment="1" applyProtection="1">
      <alignment horizontal="center"/>
      <protection locked="0"/>
    </xf>
    <xf numFmtId="14" fontId="8" fillId="4" borderId="32" xfId="0" applyNumberFormat="1" applyFont="1" applyFill="1" applyBorder="1" applyAlignment="1" applyProtection="1">
      <alignment horizontal="center"/>
      <protection locked="0"/>
    </xf>
    <xf numFmtId="14" fontId="8" fillId="4" borderId="33" xfId="0" applyNumberFormat="1" applyFont="1" applyFill="1" applyBorder="1" applyAlignment="1" applyProtection="1">
      <alignment horizontal="center"/>
      <protection locked="0"/>
    </xf>
    <xf numFmtId="1" fontId="8" fillId="4" borderId="31" xfId="0" applyNumberFormat="1" applyFont="1" applyFill="1" applyBorder="1" applyAlignment="1" applyProtection="1">
      <alignment horizontal="center"/>
      <protection locked="0"/>
    </xf>
    <xf numFmtId="1" fontId="8" fillId="4" borderId="20" xfId="0" applyNumberFormat="1" applyFont="1" applyFill="1" applyBorder="1" applyAlignment="1" applyProtection="1">
      <alignment horizontal="center"/>
      <protection locked="0"/>
    </xf>
    <xf numFmtId="1" fontId="8" fillId="4" borderId="32" xfId="0" applyNumberFormat="1" applyFont="1" applyFill="1" applyBorder="1" applyAlignment="1" applyProtection="1">
      <alignment horizontal="center"/>
      <protection locked="0"/>
    </xf>
    <xf numFmtId="1" fontId="8" fillId="4" borderId="33" xfId="0" applyNumberFormat="1" applyFont="1" applyFill="1" applyBorder="1" applyAlignment="1" applyProtection="1">
      <alignment horizontal="center"/>
      <protection locked="0"/>
    </xf>
    <xf numFmtId="0" fontId="8" fillId="4" borderId="17" xfId="0" applyFont="1" applyFill="1" applyBorder="1" applyAlignment="1" applyProtection="1">
      <alignment horizontal="center"/>
      <protection locked="0"/>
    </xf>
    <xf numFmtId="0" fontId="8" fillId="4" borderId="16" xfId="0" applyFont="1" applyFill="1" applyBorder="1" applyAlignment="1" applyProtection="1">
      <alignment horizontal="center"/>
      <protection locked="0"/>
    </xf>
    <xf numFmtId="0" fontId="8" fillId="4" borderId="18" xfId="0" applyFont="1" applyFill="1" applyBorder="1" applyAlignment="1" applyProtection="1">
      <alignment horizontal="center"/>
      <protection locked="0"/>
    </xf>
    <xf numFmtId="0" fontId="17" fillId="0" borderId="17" xfId="0" applyFont="1" applyBorder="1" applyAlignment="1" applyProtection="1">
      <alignment horizontal="left" wrapText="1"/>
      <protection locked="0"/>
    </xf>
    <xf numFmtId="0" fontId="17" fillId="0" borderId="16" xfId="0" applyFont="1" applyBorder="1" applyAlignment="1" applyProtection="1">
      <alignment horizontal="left" wrapText="1"/>
      <protection locked="0"/>
    </xf>
    <xf numFmtId="0" fontId="17" fillId="0" borderId="18" xfId="0" applyFont="1" applyBorder="1" applyAlignment="1" applyProtection="1">
      <alignment horizontal="left" wrapText="1"/>
      <protection locked="0"/>
    </xf>
    <xf numFmtId="0" fontId="8" fillId="0" borderId="31" xfId="0" applyFont="1" applyBorder="1" applyAlignment="1" applyProtection="1">
      <alignment horizontal="center" wrapText="1"/>
      <protection locked="0"/>
    </xf>
    <xf numFmtId="0" fontId="8" fillId="0" borderId="20" xfId="0" applyFont="1" applyBorder="1" applyAlignment="1" applyProtection="1">
      <alignment horizontal="center" wrapText="1"/>
      <protection locked="0"/>
    </xf>
    <xf numFmtId="0" fontId="8" fillId="0" borderId="32" xfId="0" applyFont="1" applyBorder="1" applyAlignment="1" applyProtection="1">
      <alignment horizontal="center" wrapText="1"/>
      <protection locked="0"/>
    </xf>
    <xf numFmtId="0" fontId="8" fillId="0" borderId="33" xfId="0" applyFont="1" applyBorder="1" applyAlignment="1" applyProtection="1">
      <alignment horizontal="center" wrapText="1"/>
      <protection locked="0"/>
    </xf>
    <xf numFmtId="0" fontId="8" fillId="0" borderId="31" xfId="0" applyFont="1" applyBorder="1" applyAlignment="1" applyProtection="1">
      <alignment horizontal="left" wrapText="1"/>
      <protection locked="0"/>
    </xf>
    <xf numFmtId="0" fontId="8" fillId="0" borderId="20" xfId="0" applyFont="1" applyBorder="1" applyAlignment="1" applyProtection="1">
      <alignment horizontal="left" wrapText="1"/>
      <protection locked="0"/>
    </xf>
    <xf numFmtId="0" fontId="8" fillId="0" borderId="32" xfId="0" applyFont="1" applyBorder="1" applyAlignment="1" applyProtection="1">
      <alignment horizontal="left" wrapText="1"/>
      <protection locked="0"/>
    </xf>
    <xf numFmtId="0" fontId="8" fillId="0" borderId="33" xfId="0" applyFont="1" applyBorder="1" applyAlignment="1" applyProtection="1">
      <alignment horizontal="left" wrapText="1"/>
      <protection locked="0"/>
    </xf>
    <xf numFmtId="0" fontId="8" fillId="0" borderId="0" xfId="0" applyFont="1" applyFill="1" applyBorder="1" applyAlignment="1" applyProtection="1">
      <alignment horizontal="left" vertical="center" wrapText="1"/>
      <protection locked="0"/>
    </xf>
    <xf numFmtId="0" fontId="8" fillId="4" borderId="17" xfId="0" applyFont="1" applyFill="1" applyBorder="1" applyAlignment="1" applyProtection="1">
      <alignment horizontal="left"/>
      <protection locked="0"/>
    </xf>
    <xf numFmtId="0" fontId="8" fillId="4" borderId="16" xfId="0" applyFont="1" applyFill="1" applyBorder="1" applyAlignment="1" applyProtection="1">
      <alignment horizontal="left"/>
      <protection locked="0"/>
    </xf>
    <xf numFmtId="0" fontId="8" fillId="4" borderId="18" xfId="0" applyFont="1" applyFill="1" applyBorder="1" applyAlignment="1" applyProtection="1">
      <alignment horizontal="left"/>
      <protection locked="0"/>
    </xf>
    <xf numFmtId="0" fontId="8" fillId="0" borderId="0" xfId="0" applyFont="1" applyFill="1" applyBorder="1" applyAlignment="1" applyProtection="1">
      <alignment horizontal="center" wrapText="1"/>
      <protection locked="0"/>
    </xf>
    <xf numFmtId="3" fontId="8" fillId="0" borderId="0" xfId="0" applyNumberFormat="1" applyFont="1" applyAlignment="1" applyProtection="1">
      <alignment horizontal="center" vertical="center" wrapText="1"/>
      <protection locked="0"/>
    </xf>
    <xf numFmtId="0" fontId="17" fillId="0" borderId="17" xfId="0" applyFont="1" applyBorder="1" applyAlignment="1" applyProtection="1">
      <alignment horizontal="center"/>
      <protection locked="0"/>
    </xf>
    <xf numFmtId="0" fontId="17" fillId="0" borderId="18" xfId="0" applyFont="1" applyBorder="1" applyAlignment="1" applyProtection="1">
      <alignment horizontal="center"/>
      <protection locked="0"/>
    </xf>
    <xf numFmtId="0" fontId="8" fillId="0" borderId="50" xfId="0" applyFont="1" applyBorder="1" applyAlignment="1" applyProtection="1">
      <alignment horizontal="left" wrapText="1"/>
      <protection locked="0"/>
    </xf>
    <xf numFmtId="0" fontId="8" fillId="0" borderId="0" xfId="0" applyFont="1" applyBorder="1" applyAlignment="1" applyProtection="1">
      <alignment horizontal="left" wrapText="1"/>
      <protection locked="0"/>
    </xf>
    <xf numFmtId="0" fontId="8" fillId="4" borderId="13" xfId="0" applyFont="1" applyFill="1" applyBorder="1" applyAlignment="1" applyProtection="1">
      <alignment horizontal="center"/>
      <protection locked="0"/>
    </xf>
    <xf numFmtId="0" fontId="8" fillId="4" borderId="36" xfId="0" applyFont="1" applyFill="1" applyBorder="1" applyAlignment="1" applyProtection="1">
      <alignment horizontal="center"/>
      <protection locked="0"/>
    </xf>
    <xf numFmtId="0" fontId="17" fillId="0" borderId="16" xfId="0" applyFont="1" applyBorder="1" applyAlignment="1" applyProtection="1">
      <alignment horizontal="center"/>
      <protection locked="0"/>
    </xf>
    <xf numFmtId="0" fontId="8" fillId="0" borderId="17" xfId="0" applyFont="1" applyBorder="1" applyAlignment="1" applyProtection="1">
      <alignment horizontal="left" wrapText="1"/>
      <protection locked="0"/>
    </xf>
    <xf numFmtId="0" fontId="8" fillId="0" borderId="16" xfId="0" applyFont="1" applyBorder="1" applyAlignment="1" applyProtection="1">
      <alignment horizontal="left" wrapText="1"/>
      <protection locked="0"/>
    </xf>
    <xf numFmtId="0" fontId="8" fillId="0" borderId="18" xfId="0" applyFont="1" applyBorder="1" applyAlignment="1" applyProtection="1">
      <alignment horizontal="left" wrapText="1"/>
      <protection locked="0"/>
    </xf>
    <xf numFmtId="0" fontId="17" fillId="4" borderId="17" xfId="0" applyFont="1" applyFill="1" applyBorder="1" applyAlignment="1" applyProtection="1">
      <alignment horizontal="center"/>
      <protection locked="0"/>
    </xf>
    <xf numFmtId="0" fontId="17" fillId="4" borderId="18" xfId="0" applyFont="1" applyFill="1" applyBorder="1" applyAlignment="1" applyProtection="1">
      <alignment horizontal="center"/>
      <protection locked="0"/>
    </xf>
    <xf numFmtId="0" fontId="8" fillId="4" borderId="31" xfId="0" applyFont="1" applyFill="1" applyBorder="1" applyAlignment="1" applyProtection="1">
      <alignment horizontal="left" wrapText="1"/>
      <protection locked="0"/>
    </xf>
    <xf numFmtId="0" fontId="8" fillId="4" borderId="14" xfId="0" applyFont="1" applyFill="1" applyBorder="1" applyAlignment="1" applyProtection="1">
      <alignment horizontal="left" wrapText="1"/>
      <protection locked="0"/>
    </xf>
    <xf numFmtId="0" fontId="8" fillId="4" borderId="20" xfId="0" applyFont="1" applyFill="1" applyBorder="1" applyAlignment="1" applyProtection="1">
      <alignment horizontal="left" wrapText="1"/>
      <protection locked="0"/>
    </xf>
    <xf numFmtId="0" fontId="8" fillId="4" borderId="32" xfId="0" applyFont="1" applyFill="1" applyBorder="1" applyAlignment="1" applyProtection="1">
      <alignment horizontal="left" wrapText="1"/>
      <protection locked="0"/>
    </xf>
    <xf numFmtId="0" fontId="8" fillId="4" borderId="12" xfId="0" applyFont="1" applyFill="1" applyBorder="1" applyAlignment="1" applyProtection="1">
      <alignment horizontal="left" wrapText="1"/>
      <protection locked="0"/>
    </xf>
    <xf numFmtId="0" fontId="8" fillId="4" borderId="33" xfId="0" applyFont="1" applyFill="1" applyBorder="1" applyAlignment="1" applyProtection="1">
      <alignment horizontal="left" wrapText="1"/>
      <protection locked="0"/>
    </xf>
    <xf numFmtId="14" fontId="3" fillId="0" borderId="12" xfId="0" applyNumberFormat="1" applyFont="1" applyBorder="1" applyAlignment="1">
      <alignment horizontal="center"/>
    </xf>
    <xf numFmtId="0" fontId="3" fillId="0" borderId="12" xfId="0" applyFont="1" applyBorder="1" applyAlignment="1">
      <alignment horizontal="center"/>
    </xf>
    <xf numFmtId="0" fontId="3" fillId="0" borderId="0" xfId="0" applyFont="1" applyAlignment="1">
      <alignment horizontal="left" wrapText="1"/>
    </xf>
    <xf numFmtId="0" fontId="3" fillId="0" borderId="0" xfId="0" applyFont="1" applyBorder="1" applyAlignment="1">
      <alignment horizontal="left"/>
    </xf>
    <xf numFmtId="0" fontId="3" fillId="0" borderId="0" xfId="0" applyFont="1" applyAlignment="1">
      <alignment horizontal="center"/>
    </xf>
    <xf numFmtId="0" fontId="8" fillId="0" borderId="0" xfId="0" applyFont="1" applyFill="1" applyBorder="1" applyAlignment="1">
      <alignment horizontal="left" vertical="center" wrapText="1"/>
    </xf>
    <xf numFmtId="0" fontId="3" fillId="0" borderId="0" xfId="0" applyFont="1" applyBorder="1" applyAlignment="1">
      <alignment horizontal="center" vertical="center" wrapText="1"/>
    </xf>
    <xf numFmtId="0" fontId="3" fillId="0" borderId="17" xfId="0" applyFont="1" applyBorder="1" applyAlignment="1">
      <alignment horizontal="center"/>
    </xf>
    <xf numFmtId="0" fontId="3" fillId="0" borderId="18" xfId="0" applyFont="1" applyBorder="1" applyAlignment="1">
      <alignment horizontal="center"/>
    </xf>
    <xf numFmtId="0" fontId="8" fillId="0" borderId="7" xfId="0" applyFont="1" applyBorder="1" applyAlignment="1">
      <alignment horizontal="center"/>
    </xf>
    <xf numFmtId="0" fontId="10" fillId="0" borderId="0" xfId="0" applyFont="1" applyAlignment="1">
      <alignment horizontal="left" vertical="center"/>
    </xf>
    <xf numFmtId="0" fontId="10" fillId="0" borderId="0" xfId="0" applyFont="1" applyAlignment="1">
      <alignment horizontal="left" vertical="center" wrapText="1"/>
    </xf>
    <xf numFmtId="0" fontId="9" fillId="0" borderId="12" xfId="0" applyFont="1" applyBorder="1" applyAlignment="1">
      <alignment horizontal="left"/>
    </xf>
    <xf numFmtId="0" fontId="8" fillId="0" borderId="17" xfId="0" applyFont="1" applyBorder="1" applyAlignment="1">
      <alignment horizontal="center" vertical="center" wrapText="1"/>
    </xf>
    <xf numFmtId="0" fontId="8" fillId="0" borderId="16" xfId="0" applyFont="1" applyBorder="1" applyAlignment="1">
      <alignment horizontal="center" vertical="center" wrapText="1"/>
    </xf>
    <xf numFmtId="0" fontId="8" fillId="0" borderId="18" xfId="0" applyFont="1" applyBorder="1" applyAlignment="1">
      <alignment horizontal="center" vertical="center" wrapText="1"/>
    </xf>
  </cellXfs>
  <cellStyles count="3">
    <cellStyle name="Гиперссылка" xfId="1" builtinId="8"/>
    <cellStyle name="Обычный" xfId="0" builtinId="0"/>
    <cellStyle name="Финансовый" xfId="2" builtinId="3"/>
  </cellStyles>
  <dxfs count="0"/>
  <tableStyles count="0" defaultTableStyle="TableStyleMedium2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ctrlProps/ctrlProp1.xml><?xml version="1.0" encoding="utf-8"?>
<formControlPr xmlns="http://schemas.microsoft.com/office/spreadsheetml/2009/9/main" objectType="Radio" firstButton="1" lockText="1" noThreeD="1"/>
</file>

<file path=xl/ctrlProps/ctrlProp2.xml><?xml version="1.0" encoding="utf-8"?>
<formControlPr xmlns="http://schemas.microsoft.com/office/spreadsheetml/2009/9/main" objectType="Radio" checked="Checked" lockText="1" noThreeD="1"/>
</file>

<file path=xl/ctrlProps/ctrlProp3.xml><?xml version="1.0" encoding="utf-8"?>
<formControlPr xmlns="http://schemas.microsoft.com/office/spreadsheetml/2009/9/main" objectType="Radio" lockText="1" noThreeD="1"/>
</file>

<file path=xl/ctrlProps/ctrlProp4.xml><?xml version="1.0" encoding="utf-8"?>
<formControlPr xmlns="http://schemas.microsoft.com/office/spreadsheetml/2009/9/main" objectType="Radio" lockText="1" noThreeD="1"/>
</file>

<file path=xl/ctrlProps/ctrlProp5.xml><?xml version="1.0" encoding="utf-8"?>
<formControlPr xmlns="http://schemas.microsoft.com/office/spreadsheetml/2009/9/main" objectType="Radio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19050</xdr:colOff>
          <xdr:row>21</xdr:row>
          <xdr:rowOff>180975</xdr:rowOff>
        </xdr:from>
        <xdr:to>
          <xdr:col>4</xdr:col>
          <xdr:colOff>228600</xdr:colOff>
          <xdr:row>21</xdr:row>
          <xdr:rowOff>390525</xdr:rowOff>
        </xdr:to>
        <xdr:sp macro="" textlink="">
          <xdr:nvSpPr>
            <xdr:cNvPr id="4108" name="Option Button 12" hidden="1">
              <a:extLst>
                <a:ext uri="{63B3BB69-23CF-44E3-9099-C40C66FF867C}">
                  <a14:compatExt spid="_x0000_s410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247650</xdr:colOff>
          <xdr:row>21</xdr:row>
          <xdr:rowOff>200025</xdr:rowOff>
        </xdr:from>
        <xdr:to>
          <xdr:col>7</xdr:col>
          <xdr:colOff>438150</xdr:colOff>
          <xdr:row>21</xdr:row>
          <xdr:rowOff>400050</xdr:rowOff>
        </xdr:to>
        <xdr:sp macro="" textlink="">
          <xdr:nvSpPr>
            <xdr:cNvPr id="4109" name="Option Button 13" hidden="1">
              <a:extLst>
                <a:ext uri="{63B3BB69-23CF-44E3-9099-C40C66FF867C}">
                  <a14:compatExt spid="_x0000_s410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0</xdr:colOff>
          <xdr:row>21</xdr:row>
          <xdr:rowOff>171450</xdr:rowOff>
        </xdr:from>
        <xdr:to>
          <xdr:col>13</xdr:col>
          <xdr:colOff>504825</xdr:colOff>
          <xdr:row>21</xdr:row>
          <xdr:rowOff>381000</xdr:rowOff>
        </xdr:to>
        <xdr:sp macro="" textlink="">
          <xdr:nvSpPr>
            <xdr:cNvPr id="4110" name="Option Button 14" hidden="1">
              <a:extLst>
                <a:ext uri="{63B3BB69-23CF-44E3-9099-C40C66FF867C}">
                  <a14:compatExt spid="_x0000_s411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838200</xdr:colOff>
          <xdr:row>21</xdr:row>
          <xdr:rowOff>180975</xdr:rowOff>
        </xdr:from>
        <xdr:to>
          <xdr:col>16</xdr:col>
          <xdr:colOff>276225</xdr:colOff>
          <xdr:row>21</xdr:row>
          <xdr:rowOff>390525</xdr:rowOff>
        </xdr:to>
        <xdr:sp macro="" textlink="">
          <xdr:nvSpPr>
            <xdr:cNvPr id="4111" name="Option Button 15" hidden="1">
              <a:extLst>
                <a:ext uri="{63B3BB69-23CF-44E3-9099-C40C66FF867C}">
                  <a14:compatExt spid="_x0000_s411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19050</xdr:colOff>
          <xdr:row>21</xdr:row>
          <xdr:rowOff>180975</xdr:rowOff>
        </xdr:from>
        <xdr:to>
          <xdr:col>10</xdr:col>
          <xdr:colOff>85725</xdr:colOff>
          <xdr:row>21</xdr:row>
          <xdr:rowOff>390525</xdr:rowOff>
        </xdr:to>
        <xdr:sp macro="" textlink="">
          <xdr:nvSpPr>
            <xdr:cNvPr id="4113" name="Option Button 17" hidden="1">
              <a:extLst>
                <a:ext uri="{63B3BB69-23CF-44E3-9099-C40C66FF867C}">
                  <a14:compatExt spid="_x0000_s411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xdr:twoCellAnchor>
    <xdr:from>
      <xdr:col>9</xdr:col>
      <xdr:colOff>114300</xdr:colOff>
      <xdr:row>178</xdr:row>
      <xdr:rowOff>60960</xdr:rowOff>
    </xdr:from>
    <xdr:to>
      <xdr:col>14</xdr:col>
      <xdr:colOff>129540</xdr:colOff>
      <xdr:row>189</xdr:row>
      <xdr:rowOff>152400</xdr:rowOff>
    </xdr:to>
    <xdr:sp macro="" textlink="">
      <xdr:nvSpPr>
        <xdr:cNvPr id="8" name="Овал 7"/>
        <xdr:cNvSpPr/>
      </xdr:nvSpPr>
      <xdr:spPr>
        <a:xfrm>
          <a:off x="4594860" y="44950380"/>
          <a:ext cx="2278380" cy="2179320"/>
        </a:xfrm>
        <a:prstGeom prst="ellipse">
          <a:avLst/>
        </a:prstGeom>
        <a:noFill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4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Relationship Id="rId6" Type="http://schemas.openxmlformats.org/officeDocument/2006/relationships/ctrlProp" Target="../ctrlProps/ctrlProp3.xml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/>
  <dimension ref="A3:O23"/>
  <sheetViews>
    <sheetView topLeftCell="A7" workbookViewId="0">
      <selection activeCell="F24" sqref="F24"/>
    </sheetView>
  </sheetViews>
  <sheetFormatPr defaultColWidth="8.85546875" defaultRowHeight="12.75" x14ac:dyDescent="0.2"/>
  <cols>
    <col min="1" max="1" width="12.7109375" style="16" customWidth="1"/>
    <col min="2" max="2" width="23.7109375" style="16" customWidth="1"/>
    <col min="3" max="3" width="9.140625" style="16" bestFit="1" customWidth="1"/>
    <col min="4" max="16384" width="8.85546875" style="16"/>
  </cols>
  <sheetData>
    <row r="3" spans="1:15" ht="12.75" customHeight="1" x14ac:dyDescent="0.2">
      <c r="A3" s="53"/>
      <c r="B3" s="166" t="s">
        <v>171</v>
      </c>
      <c r="C3" s="166"/>
      <c r="D3" s="166"/>
      <c r="E3" s="166"/>
      <c r="F3" s="166"/>
      <c r="G3" s="53"/>
      <c r="H3" s="53"/>
    </row>
    <row r="4" spans="1:15" x14ac:dyDescent="0.2">
      <c r="A4" s="46"/>
      <c r="B4" s="46"/>
      <c r="C4" s="46"/>
      <c r="D4" s="46"/>
      <c r="E4" s="46"/>
      <c r="F4" s="46"/>
      <c r="G4" s="46"/>
      <c r="H4" s="46"/>
    </row>
    <row r="5" spans="1:15" ht="13.5" customHeight="1" x14ac:dyDescent="0.2">
      <c r="A5" s="53"/>
      <c r="B5" s="170"/>
      <c r="C5" s="166"/>
      <c r="D5" s="166"/>
      <c r="E5" s="166"/>
      <c r="F5" s="166"/>
      <c r="G5" s="166"/>
      <c r="H5" s="166"/>
      <c r="I5" s="166"/>
      <c r="J5" s="166"/>
      <c r="K5" s="166"/>
      <c r="L5" s="166"/>
      <c r="M5" s="166"/>
      <c r="N5" s="166"/>
      <c r="O5" s="166"/>
    </row>
    <row r="6" spans="1:15" ht="70.5" customHeight="1" x14ac:dyDescent="0.2">
      <c r="A6" s="54"/>
      <c r="B6" s="167" t="s">
        <v>325</v>
      </c>
      <c r="C6" s="167"/>
      <c r="D6" s="167"/>
      <c r="E6" s="167"/>
      <c r="F6" s="167"/>
      <c r="G6" s="167"/>
      <c r="H6" s="167"/>
      <c r="I6" s="167"/>
      <c r="J6" s="167"/>
      <c r="K6" s="167"/>
      <c r="L6" s="167"/>
      <c r="M6" s="167"/>
      <c r="N6" s="167"/>
      <c r="O6" s="167"/>
    </row>
    <row r="7" spans="1:15" ht="21" customHeight="1" x14ac:dyDescent="0.2">
      <c r="B7" s="168"/>
      <c r="C7" s="168"/>
      <c r="D7" s="168"/>
      <c r="E7" s="168"/>
      <c r="F7" s="168"/>
      <c r="G7" s="168"/>
      <c r="H7" s="168"/>
      <c r="I7" s="168"/>
      <c r="J7" s="168"/>
      <c r="K7" s="168"/>
      <c r="L7" s="168"/>
      <c r="M7" s="168"/>
      <c r="N7" s="168"/>
      <c r="O7" s="168"/>
    </row>
    <row r="8" spans="1:15" ht="12.75" customHeight="1" x14ac:dyDescent="0.2">
      <c r="A8" s="55"/>
      <c r="B8" s="169"/>
      <c r="C8" s="169"/>
      <c r="D8" s="169"/>
      <c r="E8" s="169"/>
      <c r="F8" s="169"/>
      <c r="G8" s="169"/>
      <c r="H8" s="169"/>
      <c r="I8" s="169"/>
      <c r="J8" s="169"/>
      <c r="K8" s="169"/>
      <c r="L8" s="169"/>
      <c r="M8" s="169"/>
      <c r="N8" s="169"/>
      <c r="O8" s="169"/>
    </row>
    <row r="9" spans="1:15" ht="12.75" customHeight="1" x14ac:dyDescent="0.2">
      <c r="A9" s="55"/>
      <c r="B9" s="55"/>
      <c r="C9" s="55"/>
      <c r="D9" s="55"/>
      <c r="E9" s="55"/>
      <c r="F9" s="55"/>
      <c r="G9" s="55"/>
      <c r="H9" s="55"/>
    </row>
    <row r="10" spans="1:15" x14ac:dyDescent="0.2">
      <c r="B10" s="3" t="s">
        <v>82</v>
      </c>
      <c r="C10" s="19"/>
      <c r="D10" s="19"/>
      <c r="E10" s="19"/>
    </row>
    <row r="11" spans="1:15" x14ac:dyDescent="0.2">
      <c r="B11" s="7" t="s">
        <v>83</v>
      </c>
      <c r="C11" s="4">
        <v>42500</v>
      </c>
      <c r="D11" s="47"/>
      <c r="E11" s="48" t="s">
        <v>84</v>
      </c>
    </row>
    <row r="12" spans="1:15" x14ac:dyDescent="0.2">
      <c r="B12" s="7" t="s">
        <v>85</v>
      </c>
      <c r="C12" s="4">
        <v>2125000</v>
      </c>
      <c r="D12" s="47"/>
      <c r="E12" s="48" t="s">
        <v>84</v>
      </c>
    </row>
    <row r="13" spans="1:15" x14ac:dyDescent="0.2">
      <c r="B13" s="7" t="s">
        <v>86</v>
      </c>
      <c r="C13" s="4">
        <f>C12*0.1</f>
        <v>212500</v>
      </c>
      <c r="D13" s="47"/>
      <c r="E13" s="48" t="s">
        <v>84</v>
      </c>
    </row>
    <row r="14" spans="1:15" x14ac:dyDescent="0.2">
      <c r="B14" s="7" t="s">
        <v>87</v>
      </c>
      <c r="C14" s="4">
        <v>297500</v>
      </c>
      <c r="D14" s="47"/>
      <c r="E14" s="48" t="s">
        <v>84</v>
      </c>
    </row>
    <row r="15" spans="1:15" x14ac:dyDescent="0.2">
      <c r="B15" s="7" t="s">
        <v>141</v>
      </c>
      <c r="C15" s="8">
        <v>3.5000000000000003E-2</v>
      </c>
      <c r="D15" s="47"/>
      <c r="E15" s="48"/>
    </row>
    <row r="16" spans="1:15" x14ac:dyDescent="0.2">
      <c r="B16" s="7" t="s">
        <v>88</v>
      </c>
      <c r="C16" s="5">
        <f>C14*C15</f>
        <v>10412.500000000002</v>
      </c>
      <c r="D16" s="49"/>
      <c r="E16" s="48" t="s">
        <v>84</v>
      </c>
    </row>
    <row r="17" spans="2:5" x14ac:dyDescent="0.2">
      <c r="B17" s="7" t="s">
        <v>178</v>
      </c>
      <c r="C17" s="5">
        <v>425000</v>
      </c>
      <c r="D17" s="49"/>
      <c r="E17" s="48"/>
    </row>
    <row r="18" spans="2:5" x14ac:dyDescent="0.2">
      <c r="B18" s="7" t="s">
        <v>127</v>
      </c>
      <c r="C18" s="9">
        <v>0.02</v>
      </c>
      <c r="D18" s="49"/>
      <c r="E18" s="48"/>
    </row>
    <row r="19" spans="2:5" x14ac:dyDescent="0.2">
      <c r="B19" s="7" t="s">
        <v>128</v>
      </c>
      <c r="C19" s="5">
        <f>C17*C18</f>
        <v>8500</v>
      </c>
      <c r="D19" s="49"/>
      <c r="E19" s="48"/>
    </row>
    <row r="20" spans="2:5" ht="25.5" x14ac:dyDescent="0.2">
      <c r="B20" s="50" t="s">
        <v>89</v>
      </c>
      <c r="C20" s="6">
        <v>2917</v>
      </c>
      <c r="D20" s="51"/>
      <c r="E20" s="52" t="s">
        <v>84</v>
      </c>
    </row>
    <row r="21" spans="2:5" x14ac:dyDescent="0.2">
      <c r="B21" s="7" t="s">
        <v>177</v>
      </c>
      <c r="C21" s="5">
        <v>425000</v>
      </c>
      <c r="D21" s="49"/>
      <c r="E21" s="48"/>
    </row>
    <row r="22" spans="2:5" x14ac:dyDescent="0.2">
      <c r="B22" s="7" t="s">
        <v>179</v>
      </c>
      <c r="C22" s="9">
        <v>0.02</v>
      </c>
      <c r="D22" s="49"/>
      <c r="E22" s="48"/>
    </row>
    <row r="23" spans="2:5" x14ac:dyDescent="0.2">
      <c r="B23" s="7" t="s">
        <v>128</v>
      </c>
      <c r="C23" s="5">
        <f>C21*C22</f>
        <v>8500</v>
      </c>
      <c r="D23" s="49"/>
      <c r="E23" s="48"/>
    </row>
  </sheetData>
  <mergeCells count="5">
    <mergeCell ref="B3:F3"/>
    <mergeCell ref="B6:O6"/>
    <mergeCell ref="B7:O7"/>
    <mergeCell ref="B8:O8"/>
    <mergeCell ref="B5:O5"/>
  </mergeCells>
  <phoneticPr fontId="1" type="noConversion"/>
  <pageMargins left="0.75" right="0.75" top="1" bottom="1" header="0.5" footer="0.5"/>
  <pageSetup paperSize="9" orientation="portrait" verticalDpi="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Лист2">
    <pageSetUpPr fitToPage="1"/>
  </sheetPr>
  <dimension ref="A2:W202"/>
  <sheetViews>
    <sheetView tabSelected="1" workbookViewId="0">
      <selection activeCell="Q1" sqref="Q1"/>
    </sheetView>
  </sheetViews>
  <sheetFormatPr defaultColWidth="9.140625" defaultRowHeight="12.75" x14ac:dyDescent="0.2"/>
  <cols>
    <col min="1" max="1" width="3.42578125" style="19" customWidth="1"/>
    <col min="2" max="2" width="11.85546875" style="19" customWidth="1"/>
    <col min="3" max="3" width="5.85546875" style="19" customWidth="1"/>
    <col min="4" max="4" width="7.85546875" style="19" customWidth="1"/>
    <col min="5" max="5" width="11" style="19" customWidth="1"/>
    <col min="6" max="6" width="3.85546875" style="19" customWidth="1"/>
    <col min="7" max="7" width="4.5703125" style="19" customWidth="1"/>
    <col min="8" max="8" width="10.42578125" style="19" customWidth="1"/>
    <col min="9" max="9" width="4.28515625" style="19" customWidth="1"/>
    <col min="10" max="10" width="6" style="19" customWidth="1"/>
    <col min="11" max="11" width="8.42578125" style="19" customWidth="1"/>
    <col min="12" max="12" width="5.7109375" style="19" customWidth="1"/>
    <col min="13" max="13" width="3.7109375" style="19" customWidth="1"/>
    <col min="14" max="14" width="9.140625" style="19"/>
    <col min="15" max="15" width="11" style="19" customWidth="1"/>
    <col min="16" max="16" width="7" style="19" customWidth="1"/>
    <col min="17" max="17" width="29.28515625" style="19" customWidth="1"/>
    <col min="18" max="16384" width="9.140625" style="19"/>
  </cols>
  <sheetData>
    <row r="2" spans="1:16" x14ac:dyDescent="0.2">
      <c r="N2" s="231" t="s">
        <v>14</v>
      </c>
      <c r="O2" s="231"/>
      <c r="P2" s="231"/>
    </row>
    <row r="4" spans="1:16" x14ac:dyDescent="0.2">
      <c r="B4" s="48" t="s">
        <v>351</v>
      </c>
      <c r="C4" s="48"/>
      <c r="D4" s="48"/>
      <c r="E4" s="48"/>
      <c r="F4" s="48"/>
      <c r="G4" s="48"/>
      <c r="H4" s="48"/>
      <c r="I4" s="48"/>
      <c r="J4" s="48"/>
      <c r="K4" s="48"/>
      <c r="L4" s="48"/>
      <c r="M4" s="48"/>
    </row>
    <row r="5" spans="1:16" ht="13.5" thickBot="1" x14ac:dyDescent="0.25"/>
    <row r="6" spans="1:16" x14ac:dyDescent="0.2">
      <c r="A6" s="56"/>
      <c r="B6" s="232" t="s">
        <v>0</v>
      </c>
      <c r="C6" s="232"/>
      <c r="D6" s="232"/>
      <c r="E6" s="232"/>
      <c r="F6" s="232"/>
      <c r="G6" s="232"/>
      <c r="H6" s="232"/>
      <c r="I6" s="232"/>
      <c r="J6" s="232"/>
      <c r="K6" s="232"/>
      <c r="L6" s="232"/>
      <c r="M6" s="57"/>
      <c r="N6" s="57"/>
      <c r="O6" s="57"/>
      <c r="P6" s="58"/>
    </row>
    <row r="7" spans="1:16" x14ac:dyDescent="0.2">
      <c r="A7" s="59"/>
      <c r="B7" s="60"/>
      <c r="C7" s="60"/>
      <c r="D7" s="60"/>
      <c r="E7" s="60"/>
      <c r="F7" s="60"/>
      <c r="G7" s="60"/>
      <c r="H7" s="60"/>
      <c r="I7" s="60"/>
      <c r="J7" s="60"/>
      <c r="K7" s="60"/>
      <c r="L7" s="60"/>
      <c r="M7" s="60"/>
      <c r="N7" s="60"/>
      <c r="O7" s="60"/>
      <c r="P7" s="61"/>
    </row>
    <row r="8" spans="1:16" x14ac:dyDescent="0.2">
      <c r="A8" s="64">
        <v>1</v>
      </c>
      <c r="B8" s="60" t="s">
        <v>15</v>
      </c>
      <c r="C8" s="62"/>
      <c r="D8" s="333">
        <v>111111111111</v>
      </c>
      <c r="E8" s="334"/>
      <c r="F8" s="62"/>
      <c r="G8" s="60"/>
      <c r="H8" s="60"/>
      <c r="N8" s="60"/>
      <c r="O8" s="60"/>
      <c r="P8" s="61"/>
    </row>
    <row r="9" spans="1:16" x14ac:dyDescent="0.2">
      <c r="A9" s="59"/>
      <c r="B9" s="60"/>
      <c r="C9" s="60"/>
      <c r="D9" s="60"/>
      <c r="E9" s="60"/>
      <c r="F9" s="60"/>
      <c r="G9" s="60"/>
      <c r="H9" s="60"/>
      <c r="I9" s="60"/>
      <c r="J9" s="60"/>
      <c r="K9" s="60"/>
      <c r="L9" s="60"/>
      <c r="M9" s="60"/>
      <c r="N9" s="60"/>
      <c r="O9" s="60"/>
      <c r="P9" s="61"/>
    </row>
    <row r="10" spans="1:16" x14ac:dyDescent="0.2">
      <c r="A10" s="64">
        <v>2</v>
      </c>
      <c r="B10" s="60" t="s">
        <v>16</v>
      </c>
      <c r="C10" s="60"/>
      <c r="D10" s="60"/>
      <c r="E10" s="60"/>
      <c r="F10" s="63"/>
      <c r="G10" s="63"/>
      <c r="H10" s="63"/>
      <c r="I10" s="63"/>
      <c r="J10" s="335" t="s">
        <v>352</v>
      </c>
      <c r="K10" s="336"/>
      <c r="L10" s="336"/>
      <c r="M10" s="336"/>
      <c r="N10" s="336"/>
      <c r="O10" s="337"/>
      <c r="P10" s="61"/>
    </row>
    <row r="11" spans="1:16" x14ac:dyDescent="0.2">
      <c r="A11" s="59"/>
      <c r="B11" s="60"/>
      <c r="C11" s="60"/>
      <c r="D11" s="60"/>
      <c r="E11" s="60"/>
      <c r="F11" s="60"/>
      <c r="G11" s="60"/>
      <c r="H11" s="60"/>
      <c r="I11" s="60"/>
      <c r="J11" s="60"/>
      <c r="K11" s="60"/>
      <c r="L11" s="60"/>
      <c r="M11" s="60"/>
      <c r="N11" s="60"/>
      <c r="O11" s="60"/>
      <c r="P11" s="61"/>
    </row>
    <row r="12" spans="1:16" x14ac:dyDescent="0.2">
      <c r="A12" s="64">
        <v>3</v>
      </c>
      <c r="B12" s="63" t="s">
        <v>17</v>
      </c>
      <c r="C12" s="63"/>
      <c r="D12" s="63"/>
      <c r="E12" s="63"/>
      <c r="F12" s="60"/>
      <c r="G12" s="60"/>
      <c r="H12" s="60"/>
      <c r="I12" s="60"/>
      <c r="J12" s="233" t="s">
        <v>18</v>
      </c>
      <c r="K12" s="233"/>
      <c r="L12" s="28">
        <v>1</v>
      </c>
      <c r="M12" s="60"/>
      <c r="N12" s="60" t="s">
        <v>12</v>
      </c>
      <c r="O12" s="28">
        <v>2021</v>
      </c>
      <c r="P12" s="61"/>
    </row>
    <row r="13" spans="1:16" x14ac:dyDescent="0.2">
      <c r="A13" s="59"/>
      <c r="B13" s="60"/>
      <c r="C13" s="60"/>
      <c r="D13" s="60"/>
      <c r="E13" s="60"/>
      <c r="F13" s="60"/>
      <c r="G13" s="60"/>
      <c r="H13" s="60"/>
      <c r="I13" s="60"/>
      <c r="J13" s="60"/>
      <c r="K13" s="60"/>
      <c r="L13" s="60"/>
      <c r="M13" s="60"/>
      <c r="N13" s="60"/>
      <c r="O13" s="60"/>
      <c r="P13" s="61"/>
    </row>
    <row r="14" spans="1:16" x14ac:dyDescent="0.2">
      <c r="A14" s="64">
        <v>4</v>
      </c>
      <c r="B14" s="60" t="s">
        <v>19</v>
      </c>
      <c r="C14" s="60"/>
      <c r="D14" s="63"/>
      <c r="E14" s="63" t="s">
        <v>20</v>
      </c>
      <c r="F14" s="64" t="s">
        <v>11</v>
      </c>
      <c r="G14" s="60"/>
      <c r="H14" s="60"/>
      <c r="I14" s="60" t="s">
        <v>21</v>
      </c>
      <c r="J14" s="60"/>
      <c r="K14" s="60"/>
      <c r="L14" s="60"/>
      <c r="M14" s="60"/>
      <c r="N14" s="60"/>
      <c r="O14" s="60"/>
      <c r="P14" s="61"/>
    </row>
    <row r="15" spans="1:16" ht="13.5" thickBot="1" x14ac:dyDescent="0.25">
      <c r="A15" s="59"/>
      <c r="B15" s="60"/>
      <c r="C15" s="60"/>
      <c r="D15" s="60"/>
      <c r="E15" s="60"/>
      <c r="F15" s="60"/>
      <c r="G15" s="60"/>
      <c r="H15" s="60"/>
      <c r="I15" s="60"/>
      <c r="J15" s="60"/>
      <c r="K15" s="60"/>
      <c r="L15" s="60"/>
      <c r="M15" s="60"/>
      <c r="N15" s="60"/>
      <c r="O15" s="60"/>
      <c r="P15" s="61"/>
    </row>
    <row r="16" spans="1:16" ht="49.5" customHeight="1" thickBot="1" x14ac:dyDescent="0.25">
      <c r="A16" s="59"/>
      <c r="B16" s="60"/>
      <c r="C16" s="65" t="s">
        <v>4</v>
      </c>
      <c r="D16" s="345" t="s">
        <v>142</v>
      </c>
      <c r="E16" s="346"/>
      <c r="F16" s="346"/>
      <c r="G16" s="346"/>
      <c r="H16" s="346"/>
      <c r="I16" s="346"/>
      <c r="J16" s="66"/>
      <c r="K16" s="67"/>
      <c r="L16" s="60"/>
      <c r="M16" s="65" t="s">
        <v>8</v>
      </c>
      <c r="N16" s="235" t="s">
        <v>235</v>
      </c>
      <c r="O16" s="236"/>
      <c r="P16" s="68" t="s">
        <v>170</v>
      </c>
    </row>
    <row r="17" spans="1:17" ht="13.5" thickBot="1" x14ac:dyDescent="0.25">
      <c r="A17" s="59"/>
      <c r="B17" s="60"/>
      <c r="C17" s="60"/>
      <c r="D17" s="60"/>
      <c r="E17" s="60"/>
      <c r="F17" s="60"/>
      <c r="G17" s="60"/>
      <c r="H17" s="60"/>
      <c r="I17" s="60"/>
      <c r="J17" s="60"/>
      <c r="K17" s="60"/>
      <c r="L17" s="60"/>
      <c r="M17" s="60"/>
      <c r="N17" s="235"/>
      <c r="O17" s="236"/>
      <c r="P17" s="61"/>
    </row>
    <row r="18" spans="1:17" ht="52.5" customHeight="1" thickBot="1" x14ac:dyDescent="0.25">
      <c r="A18" s="59"/>
      <c r="B18" s="60"/>
      <c r="C18" s="65" t="s">
        <v>7</v>
      </c>
      <c r="D18" s="345" t="s">
        <v>143</v>
      </c>
      <c r="E18" s="346"/>
      <c r="F18" s="346"/>
      <c r="G18" s="346"/>
      <c r="H18" s="346"/>
      <c r="I18" s="346"/>
      <c r="J18" s="60"/>
      <c r="K18" s="67"/>
      <c r="L18" s="60"/>
      <c r="M18" s="65" t="s">
        <v>9</v>
      </c>
      <c r="N18" s="235" t="s">
        <v>236</v>
      </c>
      <c r="O18" s="236"/>
      <c r="P18" s="69"/>
    </row>
    <row r="19" spans="1:17" x14ac:dyDescent="0.2">
      <c r="A19" s="59"/>
      <c r="B19" s="60"/>
      <c r="C19" s="60"/>
      <c r="D19" s="60"/>
      <c r="E19" s="60"/>
      <c r="F19" s="60"/>
      <c r="G19" s="60"/>
      <c r="H19" s="60"/>
      <c r="I19" s="60"/>
      <c r="J19" s="60"/>
      <c r="K19" s="60"/>
      <c r="L19" s="60"/>
      <c r="M19" s="60"/>
      <c r="N19" s="60"/>
      <c r="O19" s="60"/>
      <c r="P19" s="70"/>
    </row>
    <row r="20" spans="1:17" x14ac:dyDescent="0.2">
      <c r="A20" s="64">
        <v>5</v>
      </c>
      <c r="B20" s="71" t="s">
        <v>145</v>
      </c>
      <c r="C20" s="60"/>
      <c r="D20" s="60" t="s">
        <v>146</v>
      </c>
      <c r="E20" s="64" t="s">
        <v>11</v>
      </c>
      <c r="F20" s="72"/>
      <c r="G20" s="234" t="s">
        <v>21</v>
      </c>
      <c r="H20" s="234"/>
      <c r="I20" s="234"/>
      <c r="J20" s="234"/>
      <c r="K20" s="234"/>
      <c r="L20" s="73"/>
      <c r="M20" s="233"/>
      <c r="N20" s="233"/>
      <c r="O20" s="233"/>
      <c r="P20" s="70"/>
    </row>
    <row r="21" spans="1:17" x14ac:dyDescent="0.2">
      <c r="A21" s="60"/>
      <c r="B21" s="71"/>
      <c r="C21" s="60"/>
      <c r="D21" s="60"/>
      <c r="E21" s="60"/>
      <c r="F21" s="60"/>
      <c r="G21" s="60"/>
      <c r="H21" s="60"/>
      <c r="I21" s="60"/>
      <c r="J21" s="60"/>
      <c r="K21" s="60"/>
      <c r="L21" s="60"/>
      <c r="M21" s="60"/>
      <c r="N21" s="60"/>
      <c r="O21" s="60"/>
      <c r="P21" s="70"/>
    </row>
    <row r="22" spans="1:17" ht="35.450000000000003" customHeight="1" x14ac:dyDescent="0.2">
      <c r="A22" s="60"/>
      <c r="B22" s="60" t="s">
        <v>1</v>
      </c>
      <c r="C22" s="60"/>
      <c r="D22" s="60"/>
      <c r="E22" s="233" t="s">
        <v>2</v>
      </c>
      <c r="F22" s="233"/>
      <c r="G22" s="63"/>
      <c r="H22" s="63" t="s">
        <v>144</v>
      </c>
      <c r="I22" s="63"/>
      <c r="J22" s="282" t="s">
        <v>3</v>
      </c>
      <c r="K22" s="282"/>
      <c r="L22" s="282"/>
      <c r="M22" s="74"/>
      <c r="N22" s="60" t="s">
        <v>22</v>
      </c>
      <c r="O22" s="60"/>
      <c r="P22" s="70"/>
    </row>
    <row r="23" spans="1:17" ht="18.600000000000001" customHeight="1" x14ac:dyDescent="0.2">
      <c r="A23" s="64">
        <v>6</v>
      </c>
      <c r="B23" s="60" t="s">
        <v>364</v>
      </c>
      <c r="C23" s="60"/>
      <c r="D23" s="60"/>
      <c r="E23" s="60"/>
      <c r="F23" s="60"/>
      <c r="G23" s="60"/>
      <c r="H23" s="60"/>
      <c r="I23" s="60"/>
      <c r="J23" s="60"/>
      <c r="K23" s="60"/>
      <c r="L23" s="60"/>
      <c r="M23" s="60"/>
      <c r="N23" s="60"/>
      <c r="O23" s="163"/>
      <c r="P23" s="70"/>
    </row>
    <row r="24" spans="1:17" ht="18.600000000000001" customHeight="1" x14ac:dyDescent="0.2">
      <c r="A24" s="64" t="s">
        <v>4</v>
      </c>
      <c r="B24" s="60" t="s">
        <v>365</v>
      </c>
      <c r="C24" s="60"/>
      <c r="D24" s="60"/>
      <c r="E24" s="60"/>
      <c r="F24" s="60"/>
      <c r="G24" s="60"/>
      <c r="H24" s="60"/>
      <c r="I24" s="60"/>
      <c r="J24" s="60"/>
      <c r="K24" s="299"/>
      <c r="L24" s="300"/>
      <c r="M24" s="300"/>
      <c r="N24" s="300"/>
      <c r="O24" s="300"/>
      <c r="P24" s="301"/>
    </row>
    <row r="25" spans="1:17" ht="18.600000000000001" customHeight="1" x14ac:dyDescent="0.2">
      <c r="A25" s="302"/>
      <c r="B25" s="303"/>
      <c r="C25" s="303"/>
      <c r="D25" s="303"/>
      <c r="E25" s="303"/>
      <c r="F25" s="303"/>
      <c r="G25" s="303"/>
      <c r="H25" s="303"/>
      <c r="I25" s="303"/>
      <c r="J25" s="303"/>
      <c r="K25" s="303"/>
      <c r="L25" s="303"/>
      <c r="M25" s="303"/>
      <c r="N25" s="303"/>
      <c r="O25" s="303"/>
      <c r="P25" s="304"/>
    </row>
    <row r="26" spans="1:17" ht="18.600000000000001" customHeight="1" x14ac:dyDescent="0.2">
      <c r="A26" s="64" t="s">
        <v>7</v>
      </c>
      <c r="B26" s="60" t="s">
        <v>366</v>
      </c>
      <c r="C26" s="60"/>
      <c r="D26" s="60"/>
      <c r="E26" s="60"/>
      <c r="F26" s="305"/>
      <c r="G26" s="306"/>
      <c r="H26" s="306"/>
      <c r="I26" s="306"/>
      <c r="J26" s="306"/>
      <c r="K26" s="306"/>
      <c r="L26" s="306"/>
      <c r="M26" s="306"/>
      <c r="N26" s="306"/>
      <c r="O26" s="306"/>
      <c r="P26" s="307"/>
    </row>
    <row r="27" spans="1:17" ht="18.600000000000001" customHeight="1" x14ac:dyDescent="0.2">
      <c r="A27" s="64" t="s">
        <v>8</v>
      </c>
      <c r="B27" s="60" t="s">
        <v>367</v>
      </c>
      <c r="C27" s="60"/>
      <c r="D27" s="60"/>
      <c r="E27" s="60"/>
      <c r="F27" s="308"/>
      <c r="G27" s="309"/>
      <c r="H27" s="310"/>
      <c r="I27" s="60"/>
      <c r="J27" s="60"/>
      <c r="K27" s="60"/>
      <c r="L27" s="60"/>
      <c r="M27" s="60"/>
      <c r="N27" s="60"/>
      <c r="O27" s="60"/>
      <c r="P27" s="70"/>
    </row>
    <row r="28" spans="1:17" ht="16.149999999999999" customHeight="1" x14ac:dyDescent="0.2">
      <c r="A28" s="60"/>
      <c r="B28" s="93"/>
      <c r="C28" s="93"/>
      <c r="D28" s="93"/>
      <c r="E28" s="93"/>
      <c r="F28" s="93"/>
      <c r="G28" s="93"/>
      <c r="H28" s="93"/>
      <c r="I28" s="93"/>
      <c r="J28" s="93"/>
      <c r="K28" s="93"/>
      <c r="L28" s="93"/>
      <c r="M28" s="93"/>
      <c r="N28" s="93"/>
      <c r="O28" s="93"/>
      <c r="P28" s="70"/>
    </row>
    <row r="29" spans="1:17" x14ac:dyDescent="0.2">
      <c r="A29" s="64">
        <v>7</v>
      </c>
      <c r="B29" s="60" t="s">
        <v>23</v>
      </c>
      <c r="C29" s="60"/>
      <c r="D29" s="60"/>
      <c r="E29" s="60"/>
      <c r="F29" s="60"/>
      <c r="G29" s="60"/>
      <c r="H29" s="60"/>
      <c r="I29" s="60"/>
      <c r="J29" s="60"/>
      <c r="K29" s="60"/>
      <c r="L29" s="60"/>
      <c r="M29" s="60"/>
      <c r="N29" s="60"/>
      <c r="O29" s="60"/>
      <c r="P29" s="70"/>
      <c r="Q29" s="60"/>
    </row>
    <row r="30" spans="1:17" ht="13.5" thickBot="1" x14ac:dyDescent="0.25">
      <c r="A30" s="60"/>
      <c r="B30" s="60"/>
      <c r="C30" s="60"/>
      <c r="D30" s="60"/>
      <c r="E30" s="60"/>
      <c r="F30" s="60"/>
      <c r="G30" s="60"/>
      <c r="H30" s="60"/>
      <c r="I30" s="60"/>
      <c r="J30" s="60"/>
      <c r="K30" s="60"/>
      <c r="L30" s="60"/>
      <c r="M30" s="60"/>
      <c r="N30" s="60"/>
      <c r="O30" s="60"/>
      <c r="P30" s="70"/>
    </row>
    <row r="31" spans="1:17" ht="13.5" thickBot="1" x14ac:dyDescent="0.25">
      <c r="A31" s="60"/>
      <c r="B31" s="60"/>
      <c r="C31" s="65" t="s">
        <v>4</v>
      </c>
      <c r="D31" s="60" t="s">
        <v>24</v>
      </c>
      <c r="E31" s="75"/>
      <c r="F31" s="76"/>
      <c r="G31" s="76"/>
      <c r="H31" s="76"/>
      <c r="I31" s="77"/>
      <c r="J31" s="60"/>
      <c r="K31" s="60"/>
      <c r="L31" s="60"/>
      <c r="M31" s="65" t="s">
        <v>7</v>
      </c>
      <c r="N31" s="60" t="s">
        <v>25</v>
      </c>
      <c r="O31" s="78"/>
      <c r="P31" s="70"/>
    </row>
    <row r="32" spans="1:17" x14ac:dyDescent="0.2">
      <c r="A32" s="60"/>
      <c r="B32" s="60"/>
      <c r="C32" s="60"/>
      <c r="D32" s="60"/>
      <c r="E32" s="60"/>
      <c r="F32" s="60"/>
      <c r="G32" s="60"/>
      <c r="H32" s="60"/>
      <c r="I32" s="60"/>
      <c r="J32" s="60"/>
      <c r="K32" s="60"/>
      <c r="L32" s="60"/>
      <c r="M32" s="60"/>
      <c r="N32" s="60"/>
      <c r="O32" s="60"/>
      <c r="P32" s="70"/>
    </row>
    <row r="33" spans="1:17" ht="13.5" thickBot="1" x14ac:dyDescent="0.25">
      <c r="A33" s="60"/>
      <c r="B33" s="234"/>
      <c r="C33" s="234"/>
      <c r="D33" s="234"/>
      <c r="E33" s="79"/>
      <c r="F33" s="79"/>
      <c r="G33" s="79"/>
      <c r="H33" s="79"/>
      <c r="I33" s="60"/>
      <c r="J33" s="60"/>
      <c r="K33" s="60"/>
      <c r="L33" s="60"/>
      <c r="M33" s="60"/>
      <c r="N33" s="60"/>
      <c r="O33" s="60"/>
      <c r="P33" s="70"/>
    </row>
    <row r="34" spans="1:17" ht="13.5" thickBot="1" x14ac:dyDescent="0.25">
      <c r="A34" s="64">
        <v>8</v>
      </c>
      <c r="B34" s="60" t="s">
        <v>26</v>
      </c>
      <c r="C34" s="60"/>
      <c r="D34" s="67" t="s">
        <v>159</v>
      </c>
      <c r="E34" s="60"/>
      <c r="F34" s="60"/>
      <c r="G34" s="60"/>
      <c r="H34" s="60"/>
      <c r="I34" s="60"/>
      <c r="J34" s="60"/>
      <c r="K34" s="60"/>
      <c r="L34" s="60"/>
      <c r="M34" s="60"/>
      <c r="N34" s="60"/>
      <c r="O34" s="60"/>
      <c r="P34" s="70"/>
      <c r="Q34" s="16"/>
    </row>
    <row r="35" spans="1:17" ht="13.5" thickBot="1" x14ac:dyDescent="0.25">
      <c r="A35" s="60"/>
      <c r="B35" s="60"/>
      <c r="C35" s="60"/>
      <c r="D35" s="60"/>
      <c r="E35" s="132"/>
      <c r="F35" s="132"/>
      <c r="G35" s="132"/>
      <c r="H35" s="132"/>
      <c r="I35" s="60"/>
      <c r="J35" s="60"/>
      <c r="K35" s="60"/>
      <c r="L35" s="60"/>
      <c r="M35" s="60"/>
      <c r="N35" s="60"/>
      <c r="O35" s="60"/>
      <c r="P35" s="70"/>
    </row>
    <row r="36" spans="1:17" ht="18" customHeight="1" thickBot="1" x14ac:dyDescent="0.25">
      <c r="A36" s="64">
        <v>9</v>
      </c>
      <c r="B36" s="63" t="s">
        <v>27</v>
      </c>
      <c r="C36" s="63"/>
      <c r="D36" s="72"/>
      <c r="E36" s="65" t="s">
        <v>4</v>
      </c>
      <c r="F36" s="60"/>
      <c r="G36" s="60" t="s">
        <v>29</v>
      </c>
      <c r="H36" s="60"/>
      <c r="I36" s="60"/>
      <c r="J36" s="28" t="s">
        <v>160</v>
      </c>
      <c r="L36" s="60"/>
      <c r="M36" s="60"/>
      <c r="N36" s="65" t="s">
        <v>7</v>
      </c>
      <c r="O36" s="74" t="s">
        <v>28</v>
      </c>
      <c r="P36" s="26"/>
    </row>
    <row r="37" spans="1:17" x14ac:dyDescent="0.2">
      <c r="A37" s="60"/>
      <c r="B37" s="63" t="s">
        <v>20</v>
      </c>
      <c r="C37" s="64" t="s">
        <v>11</v>
      </c>
      <c r="D37" s="60"/>
      <c r="E37" s="60" t="s">
        <v>21</v>
      </c>
      <c r="F37" s="60"/>
      <c r="G37" s="60"/>
      <c r="H37" s="80"/>
      <c r="I37" s="60"/>
      <c r="J37" s="60"/>
      <c r="K37" s="60"/>
      <c r="L37" s="60"/>
      <c r="M37" s="60"/>
      <c r="N37" s="60"/>
      <c r="O37" s="60"/>
      <c r="P37" s="164"/>
    </row>
    <row r="38" spans="1:17" x14ac:dyDescent="0.2">
      <c r="A38" s="64">
        <v>10</v>
      </c>
      <c r="B38" s="63" t="s">
        <v>368</v>
      </c>
      <c r="C38" s="60"/>
      <c r="D38" s="60"/>
      <c r="E38" s="60"/>
      <c r="F38" s="60"/>
      <c r="G38" s="60"/>
      <c r="H38" s="80"/>
      <c r="I38" s="60"/>
      <c r="J38" s="60"/>
      <c r="K38" s="42" t="s">
        <v>307</v>
      </c>
      <c r="L38" s="42" t="s">
        <v>369</v>
      </c>
      <c r="M38" s="60"/>
      <c r="N38" s="60"/>
      <c r="O38" s="60"/>
      <c r="P38" s="70"/>
    </row>
    <row r="39" spans="1:17" ht="6" customHeight="1" x14ac:dyDescent="0.2">
      <c r="A39" s="254" t="s">
        <v>30</v>
      </c>
      <c r="B39" s="255"/>
      <c r="C39" s="255"/>
      <c r="D39" s="255"/>
      <c r="E39" s="255"/>
      <c r="F39" s="255"/>
      <c r="G39" s="255"/>
      <c r="H39" s="255"/>
      <c r="I39" s="255"/>
      <c r="J39" s="255"/>
      <c r="K39" s="255"/>
      <c r="L39" s="255"/>
      <c r="M39" s="255"/>
      <c r="N39" s="255"/>
      <c r="O39" s="255"/>
      <c r="P39" s="256"/>
    </row>
    <row r="40" spans="1:17" ht="13.5" thickBot="1" x14ac:dyDescent="0.25">
      <c r="A40" s="257"/>
      <c r="B40" s="258"/>
      <c r="C40" s="258"/>
      <c r="D40" s="258"/>
      <c r="E40" s="258"/>
      <c r="F40" s="258"/>
      <c r="G40" s="258"/>
      <c r="H40" s="258"/>
      <c r="I40" s="258"/>
      <c r="J40" s="258"/>
      <c r="K40" s="258"/>
      <c r="L40" s="258"/>
      <c r="M40" s="258"/>
      <c r="N40" s="258"/>
      <c r="O40" s="258"/>
      <c r="P40" s="259"/>
    </row>
    <row r="41" spans="1:17" ht="26.25" customHeight="1" thickBot="1" x14ac:dyDescent="0.25">
      <c r="A41" s="243" t="s">
        <v>6</v>
      </c>
      <c r="B41" s="244"/>
      <c r="C41" s="250" t="s">
        <v>147</v>
      </c>
      <c r="D41" s="251"/>
      <c r="E41" s="251"/>
      <c r="F41" s="251"/>
      <c r="G41" s="251"/>
      <c r="H41" s="251"/>
      <c r="I41" s="251"/>
      <c r="J41" s="251"/>
      <c r="K41" s="251"/>
      <c r="L41" s="252"/>
      <c r="M41" s="244" t="s">
        <v>5</v>
      </c>
      <c r="N41" s="244"/>
      <c r="O41" s="244"/>
      <c r="P41" s="253"/>
    </row>
    <row r="42" spans="1:17" x14ac:dyDescent="0.2">
      <c r="A42" s="248" t="s">
        <v>31</v>
      </c>
      <c r="B42" s="249"/>
      <c r="C42" s="281" t="s">
        <v>158</v>
      </c>
      <c r="D42" s="281"/>
      <c r="E42" s="281"/>
      <c r="F42" s="281"/>
      <c r="G42" s="281"/>
      <c r="H42" s="281"/>
      <c r="I42" s="281"/>
      <c r="J42" s="281"/>
      <c r="K42" s="281"/>
      <c r="L42" s="281"/>
      <c r="M42" s="237">
        <f>дохТОО!C21</f>
        <v>56958000</v>
      </c>
      <c r="N42" s="237"/>
      <c r="O42" s="237"/>
      <c r="P42" s="238"/>
    </row>
    <row r="43" spans="1:17" x14ac:dyDescent="0.2">
      <c r="A43" s="207"/>
      <c r="B43" s="208"/>
      <c r="C43" s="279"/>
      <c r="D43" s="279"/>
      <c r="E43" s="279"/>
      <c r="F43" s="279"/>
      <c r="G43" s="279"/>
      <c r="H43" s="279"/>
      <c r="I43" s="279"/>
      <c r="J43" s="279"/>
      <c r="K43" s="279"/>
      <c r="L43" s="279"/>
      <c r="M43" s="239"/>
      <c r="N43" s="239"/>
      <c r="O43" s="239"/>
      <c r="P43" s="240"/>
    </row>
    <row r="44" spans="1:17" x14ac:dyDescent="0.2">
      <c r="A44" s="126"/>
      <c r="B44" s="127"/>
      <c r="C44" s="128" t="s">
        <v>185</v>
      </c>
      <c r="D44" s="129" t="s">
        <v>224</v>
      </c>
      <c r="E44" s="129"/>
      <c r="F44" s="129"/>
      <c r="G44" s="129"/>
      <c r="H44" s="129"/>
      <c r="I44" s="129"/>
      <c r="J44" s="129"/>
      <c r="K44" s="129"/>
      <c r="L44" s="130"/>
      <c r="M44" s="290">
        <v>51958000</v>
      </c>
      <c r="N44" s="291"/>
      <c r="O44" s="291"/>
      <c r="P44" s="292"/>
    </row>
    <row r="45" spans="1:17" x14ac:dyDescent="0.2">
      <c r="A45" s="126"/>
      <c r="B45" s="127"/>
      <c r="C45" s="128"/>
      <c r="D45" s="129" t="s">
        <v>106</v>
      </c>
      <c r="E45" s="129" t="s">
        <v>226</v>
      </c>
      <c r="F45" s="129"/>
      <c r="G45" s="129"/>
      <c r="H45" s="129"/>
      <c r="I45" s="129"/>
      <c r="J45" s="129"/>
      <c r="K45" s="129"/>
      <c r="L45" s="130"/>
      <c r="M45" s="290">
        <v>0</v>
      </c>
      <c r="N45" s="291"/>
      <c r="O45" s="291"/>
      <c r="P45" s="292"/>
    </row>
    <row r="46" spans="1:17" x14ac:dyDescent="0.2">
      <c r="A46" s="126"/>
      <c r="B46" s="127"/>
      <c r="C46" s="128" t="s">
        <v>186</v>
      </c>
      <c r="D46" s="129" t="s">
        <v>225</v>
      </c>
      <c r="E46" s="129"/>
      <c r="F46" s="129"/>
      <c r="G46" s="129"/>
      <c r="H46" s="129"/>
      <c r="I46" s="129"/>
      <c r="J46" s="129"/>
      <c r="K46" s="129"/>
      <c r="L46" s="130"/>
      <c r="M46" s="290">
        <v>5000000</v>
      </c>
      <c r="N46" s="291"/>
      <c r="O46" s="291"/>
      <c r="P46" s="292"/>
    </row>
    <row r="47" spans="1:17" x14ac:dyDescent="0.2">
      <c r="A47" s="126"/>
      <c r="B47" s="127"/>
      <c r="C47" s="128"/>
      <c r="D47" s="129" t="s">
        <v>106</v>
      </c>
      <c r="E47" s="129" t="s">
        <v>226</v>
      </c>
      <c r="F47" s="129"/>
      <c r="G47" s="129"/>
      <c r="H47" s="129"/>
      <c r="I47" s="129"/>
      <c r="J47" s="129"/>
      <c r="K47" s="129"/>
      <c r="L47" s="130"/>
      <c r="M47" s="290">
        <v>0</v>
      </c>
      <c r="N47" s="291"/>
      <c r="O47" s="291"/>
      <c r="P47" s="292"/>
    </row>
    <row r="48" spans="1:17" x14ac:dyDescent="0.2">
      <c r="A48" s="207" t="s">
        <v>32</v>
      </c>
      <c r="B48" s="208"/>
      <c r="C48" s="293" t="s">
        <v>40</v>
      </c>
      <c r="D48" s="294"/>
      <c r="E48" s="294"/>
      <c r="F48" s="294"/>
      <c r="G48" s="294"/>
      <c r="H48" s="294"/>
      <c r="I48" s="294"/>
      <c r="J48" s="294"/>
      <c r="K48" s="294"/>
      <c r="L48" s="295"/>
      <c r="M48" s="241"/>
      <c r="N48" s="241"/>
      <c r="O48" s="241"/>
      <c r="P48" s="242"/>
    </row>
    <row r="49" spans="1:17" x14ac:dyDescent="0.2">
      <c r="A49" s="207"/>
      <c r="B49" s="208"/>
      <c r="C49" s="296"/>
      <c r="D49" s="297"/>
      <c r="E49" s="297"/>
      <c r="F49" s="297"/>
      <c r="G49" s="297"/>
      <c r="H49" s="297"/>
      <c r="I49" s="297"/>
      <c r="J49" s="297"/>
      <c r="K49" s="297"/>
      <c r="L49" s="298"/>
      <c r="M49" s="241"/>
      <c r="N49" s="241"/>
      <c r="O49" s="241"/>
      <c r="P49" s="242"/>
    </row>
    <row r="50" spans="1:17" x14ac:dyDescent="0.2">
      <c r="A50" s="207" t="s">
        <v>33</v>
      </c>
      <c r="B50" s="208"/>
      <c r="C50" s="245" t="s">
        <v>102</v>
      </c>
      <c r="D50" s="245"/>
      <c r="E50" s="245"/>
      <c r="F50" s="245"/>
      <c r="G50" s="245"/>
      <c r="H50" s="245"/>
      <c r="I50" s="245"/>
      <c r="J50" s="245"/>
      <c r="K50" s="245"/>
      <c r="L50" s="245"/>
      <c r="M50" s="246">
        <f>ROUND(('2.1'!W26+'2.2'!W26+'2.3'!W26+'2.4'!W26+'2.5'!W26+'2.6'!W26)/6,0)</f>
        <v>3</v>
      </c>
      <c r="N50" s="246"/>
      <c r="O50" s="246"/>
      <c r="P50" s="247"/>
    </row>
    <row r="51" spans="1:17" x14ac:dyDescent="0.2">
      <c r="A51" s="207"/>
      <c r="B51" s="208"/>
      <c r="C51" s="245"/>
      <c r="D51" s="245"/>
      <c r="E51" s="245"/>
      <c r="F51" s="245"/>
      <c r="G51" s="245"/>
      <c r="H51" s="245"/>
      <c r="I51" s="245"/>
      <c r="J51" s="245"/>
      <c r="K51" s="245"/>
      <c r="L51" s="245"/>
      <c r="M51" s="246"/>
      <c r="N51" s="246"/>
      <c r="O51" s="246"/>
      <c r="P51" s="247"/>
    </row>
    <row r="52" spans="1:17" ht="23.25" customHeight="1" x14ac:dyDescent="0.2">
      <c r="A52" s="183"/>
      <c r="B52" s="184"/>
      <c r="C52" s="134" t="s">
        <v>4</v>
      </c>
      <c r="D52" s="283" t="s">
        <v>122</v>
      </c>
      <c r="E52" s="283"/>
      <c r="F52" s="283"/>
      <c r="G52" s="283"/>
      <c r="H52" s="283"/>
      <c r="I52" s="283"/>
      <c r="J52" s="283"/>
      <c r="K52" s="283"/>
      <c r="L52" s="284"/>
      <c r="M52" s="285">
        <f>ROUND(('2.1'!O26+'2.2'!N25+'2.3'!M25+'2.4'!M25+'2.5'!M25+'2.6'!M25)/6,0)</f>
        <v>0</v>
      </c>
      <c r="N52" s="285"/>
      <c r="O52" s="285"/>
      <c r="P52" s="286"/>
      <c r="Q52" s="81" t="s">
        <v>124</v>
      </c>
    </row>
    <row r="53" spans="1:17" ht="4.9000000000000004" customHeight="1" x14ac:dyDescent="0.2">
      <c r="A53" s="185"/>
      <c r="B53" s="186"/>
      <c r="C53" s="134"/>
      <c r="D53" s="135"/>
      <c r="E53" s="135"/>
      <c r="F53" s="135"/>
      <c r="G53" s="135"/>
      <c r="H53" s="135"/>
      <c r="I53" s="135"/>
      <c r="J53" s="135"/>
      <c r="K53" s="135"/>
      <c r="L53" s="135"/>
      <c r="M53" s="82"/>
      <c r="N53" s="83"/>
      <c r="O53" s="83"/>
      <c r="P53" s="84"/>
    </row>
    <row r="54" spans="1:17" ht="42.6" customHeight="1" x14ac:dyDescent="0.2">
      <c r="A54" s="185"/>
      <c r="B54" s="186"/>
      <c r="C54" s="134" t="s">
        <v>7</v>
      </c>
      <c r="D54" s="283" t="s">
        <v>123</v>
      </c>
      <c r="E54" s="283"/>
      <c r="F54" s="283"/>
      <c r="G54" s="283"/>
      <c r="H54" s="283"/>
      <c r="I54" s="283"/>
      <c r="J54" s="283"/>
      <c r="K54" s="283"/>
      <c r="L54" s="284"/>
      <c r="M54" s="287"/>
      <c r="N54" s="288"/>
      <c r="O54" s="288"/>
      <c r="P54" s="289"/>
      <c r="Q54" s="81" t="s">
        <v>125</v>
      </c>
    </row>
    <row r="55" spans="1:17" x14ac:dyDescent="0.2">
      <c r="A55" s="185"/>
      <c r="B55" s="186"/>
      <c r="C55" s="134"/>
      <c r="D55" s="135"/>
      <c r="E55" s="135"/>
      <c r="F55" s="135"/>
      <c r="G55" s="135"/>
      <c r="H55" s="135"/>
      <c r="I55" s="135"/>
      <c r="J55" s="135"/>
      <c r="K55" s="135"/>
      <c r="L55" s="135"/>
      <c r="M55" s="82"/>
      <c r="N55" s="83"/>
      <c r="O55" s="83"/>
      <c r="P55" s="84"/>
    </row>
    <row r="56" spans="1:17" ht="29.25" customHeight="1" x14ac:dyDescent="0.2">
      <c r="A56" s="183" t="s">
        <v>34</v>
      </c>
      <c r="B56" s="184"/>
      <c r="C56" s="273" t="s">
        <v>356</v>
      </c>
      <c r="D56" s="274"/>
      <c r="E56" s="274"/>
      <c r="F56" s="274"/>
      <c r="G56" s="274"/>
      <c r="H56" s="274"/>
      <c r="I56" s="274"/>
      <c r="J56" s="274"/>
      <c r="K56" s="274"/>
      <c r="L56" s="275"/>
      <c r="M56" s="277">
        <f>('2.1'!AD26+'2.2'!AD26+'2.3'!AD26+'2.4'!AD26+'2.5'!AD26+'2.6'!AD26)/6</f>
        <v>205833.33333333334</v>
      </c>
      <c r="N56" s="277"/>
      <c r="O56" s="277"/>
      <c r="P56" s="278"/>
      <c r="Q56" s="270"/>
    </row>
    <row r="57" spans="1:17" x14ac:dyDescent="0.2">
      <c r="A57" s="271"/>
      <c r="B57" s="272"/>
      <c r="C57" s="213"/>
      <c r="D57" s="214"/>
      <c r="E57" s="214"/>
      <c r="F57" s="214"/>
      <c r="G57" s="214"/>
      <c r="H57" s="214"/>
      <c r="I57" s="214"/>
      <c r="J57" s="214"/>
      <c r="K57" s="214"/>
      <c r="L57" s="276"/>
      <c r="M57" s="239"/>
      <c r="N57" s="239"/>
      <c r="O57" s="239"/>
      <c r="P57" s="240"/>
      <c r="Q57" s="270"/>
    </row>
    <row r="58" spans="1:17" x14ac:dyDescent="0.2">
      <c r="A58" s="207" t="s">
        <v>35</v>
      </c>
      <c r="B58" s="208"/>
      <c r="C58" s="279" t="s">
        <v>41</v>
      </c>
      <c r="D58" s="279"/>
      <c r="E58" s="279"/>
      <c r="F58" s="279"/>
      <c r="G58" s="279"/>
      <c r="H58" s="279"/>
      <c r="I58" s="279"/>
      <c r="J58" s="279"/>
      <c r="K58" s="279"/>
      <c r="L58" s="279"/>
      <c r="M58" s="239">
        <f>ROUND(M42*3%,0)</f>
        <v>1708740</v>
      </c>
      <c r="N58" s="239"/>
      <c r="O58" s="239"/>
      <c r="P58" s="240"/>
    </row>
    <row r="59" spans="1:17" x14ac:dyDescent="0.2">
      <c r="A59" s="207"/>
      <c r="B59" s="208"/>
      <c r="C59" s="279"/>
      <c r="D59" s="279"/>
      <c r="E59" s="279"/>
      <c r="F59" s="279"/>
      <c r="G59" s="279"/>
      <c r="H59" s="279"/>
      <c r="I59" s="279"/>
      <c r="J59" s="279"/>
      <c r="K59" s="279"/>
      <c r="L59" s="279"/>
      <c r="M59" s="239"/>
      <c r="N59" s="239"/>
      <c r="O59" s="239"/>
      <c r="P59" s="240"/>
    </row>
    <row r="60" spans="1:17" ht="12.75" customHeight="1" x14ac:dyDescent="0.2">
      <c r="A60" s="207" t="s">
        <v>36</v>
      </c>
      <c r="B60" s="208"/>
      <c r="C60" s="245" t="s">
        <v>148</v>
      </c>
      <c r="D60" s="245"/>
      <c r="E60" s="245"/>
      <c r="F60" s="245"/>
      <c r="G60" s="245"/>
      <c r="H60" s="245"/>
      <c r="I60" s="245"/>
      <c r="J60" s="245"/>
      <c r="K60" s="245"/>
      <c r="L60" s="245"/>
      <c r="M60" s="239">
        <f>ROUND((IF(M56&gt;=23*введ!C20,M58*(M50)*0.015,0)),0)</f>
        <v>76893</v>
      </c>
      <c r="N60" s="239"/>
      <c r="O60" s="239"/>
      <c r="P60" s="240"/>
    </row>
    <row r="61" spans="1:17" ht="14.25" customHeight="1" x14ac:dyDescent="0.2">
      <c r="A61" s="207"/>
      <c r="B61" s="208"/>
      <c r="C61" s="245"/>
      <c r="D61" s="245"/>
      <c r="E61" s="245"/>
      <c r="F61" s="245"/>
      <c r="G61" s="245"/>
      <c r="H61" s="245"/>
      <c r="I61" s="245"/>
      <c r="J61" s="245"/>
      <c r="K61" s="245"/>
      <c r="L61" s="245"/>
      <c r="M61" s="239"/>
      <c r="N61" s="239"/>
      <c r="O61" s="239"/>
      <c r="P61" s="240"/>
    </row>
    <row r="62" spans="1:17" x14ac:dyDescent="0.2">
      <c r="A62" s="207" t="s">
        <v>37</v>
      </c>
      <c r="B62" s="208"/>
      <c r="C62" s="245" t="s">
        <v>42</v>
      </c>
      <c r="D62" s="245"/>
      <c r="E62" s="245"/>
      <c r="F62" s="245"/>
      <c r="G62" s="245"/>
      <c r="H62" s="245"/>
      <c r="I62" s="245"/>
      <c r="J62" s="245"/>
      <c r="K62" s="245"/>
      <c r="L62" s="245"/>
      <c r="M62" s="239">
        <f>M58-M60</f>
        <v>1631847</v>
      </c>
      <c r="N62" s="239"/>
      <c r="O62" s="239"/>
      <c r="P62" s="240"/>
    </row>
    <row r="63" spans="1:17" ht="16.5" customHeight="1" x14ac:dyDescent="0.2">
      <c r="A63" s="207"/>
      <c r="B63" s="208"/>
      <c r="C63" s="245"/>
      <c r="D63" s="245"/>
      <c r="E63" s="245"/>
      <c r="F63" s="245"/>
      <c r="G63" s="245"/>
      <c r="H63" s="245"/>
      <c r="I63" s="245"/>
      <c r="J63" s="245"/>
      <c r="K63" s="245"/>
      <c r="L63" s="245"/>
      <c r="M63" s="239"/>
      <c r="N63" s="239"/>
      <c r="O63" s="239"/>
      <c r="P63" s="240"/>
    </row>
    <row r="64" spans="1:17" x14ac:dyDescent="0.2">
      <c r="A64" s="207" t="s">
        <v>38</v>
      </c>
      <c r="B64" s="208"/>
      <c r="C64" s="245" t="s">
        <v>43</v>
      </c>
      <c r="D64" s="245"/>
      <c r="E64" s="245"/>
      <c r="F64" s="245"/>
      <c r="G64" s="245"/>
      <c r="H64" s="245"/>
      <c r="I64" s="245"/>
      <c r="J64" s="245"/>
      <c r="K64" s="245"/>
      <c r="L64" s="245"/>
      <c r="M64" s="239">
        <f>ROUND(M62*0.5,0)</f>
        <v>815924</v>
      </c>
      <c r="N64" s="239"/>
      <c r="O64" s="239"/>
      <c r="P64" s="240"/>
    </row>
    <row r="65" spans="1:19" ht="12.95" customHeight="1" x14ac:dyDescent="0.2">
      <c r="A65" s="207"/>
      <c r="B65" s="208"/>
      <c r="C65" s="245"/>
      <c r="D65" s="245"/>
      <c r="E65" s="245"/>
      <c r="F65" s="245"/>
      <c r="G65" s="245"/>
      <c r="H65" s="245"/>
      <c r="I65" s="245"/>
      <c r="J65" s="245"/>
      <c r="K65" s="245"/>
      <c r="L65" s="245"/>
      <c r="M65" s="239"/>
      <c r="N65" s="239"/>
      <c r="O65" s="239"/>
      <c r="P65" s="240"/>
    </row>
    <row r="66" spans="1:19" ht="12.75" customHeight="1" x14ac:dyDescent="0.2">
      <c r="A66" s="207" t="s">
        <v>39</v>
      </c>
      <c r="B66" s="208"/>
      <c r="C66" s="260" t="s">
        <v>149</v>
      </c>
      <c r="D66" s="260"/>
      <c r="E66" s="260"/>
      <c r="F66" s="260"/>
      <c r="G66" s="260"/>
      <c r="H66" s="260"/>
      <c r="I66" s="260"/>
      <c r="J66" s="260"/>
      <c r="K66" s="260"/>
      <c r="L66" s="260"/>
      <c r="M66" s="239">
        <f>ROUND((IF((M62*0.5-M135)&gt;0,M62*0.5-M135,0)),0)</f>
        <v>723629</v>
      </c>
      <c r="N66" s="239"/>
      <c r="O66" s="239"/>
      <c r="P66" s="240"/>
      <c r="Q66" s="193" t="s">
        <v>354</v>
      </c>
      <c r="R66" s="194"/>
      <c r="S66" s="194"/>
    </row>
    <row r="67" spans="1:19" ht="14.25" customHeight="1" x14ac:dyDescent="0.2">
      <c r="A67" s="207"/>
      <c r="B67" s="208"/>
      <c r="C67" s="245"/>
      <c r="D67" s="245"/>
      <c r="E67" s="245"/>
      <c r="F67" s="245"/>
      <c r="G67" s="245"/>
      <c r="H67" s="245"/>
      <c r="I67" s="245"/>
      <c r="J67" s="245"/>
      <c r="K67" s="245"/>
      <c r="L67" s="245"/>
      <c r="M67" s="239"/>
      <c r="N67" s="239"/>
      <c r="O67" s="239"/>
      <c r="P67" s="240"/>
      <c r="Q67" s="193"/>
      <c r="R67" s="194"/>
      <c r="S67" s="194"/>
    </row>
    <row r="68" spans="1:19" ht="12.75" customHeight="1" x14ac:dyDescent="0.2">
      <c r="A68" s="207" t="s">
        <v>45</v>
      </c>
      <c r="B68" s="208"/>
      <c r="C68" s="260" t="s">
        <v>180</v>
      </c>
      <c r="D68" s="260"/>
      <c r="E68" s="260"/>
      <c r="F68" s="260"/>
      <c r="G68" s="260"/>
      <c r="H68" s="260"/>
      <c r="I68" s="260"/>
      <c r="J68" s="260"/>
      <c r="K68" s="260"/>
      <c r="L68" s="260"/>
      <c r="M68" s="327"/>
      <c r="N68" s="328"/>
      <c r="O68" s="328"/>
      <c r="P68" s="329"/>
      <c r="Q68" s="193"/>
      <c r="R68" s="194"/>
      <c r="S68" s="194"/>
    </row>
    <row r="69" spans="1:19" ht="36" customHeight="1" x14ac:dyDescent="0.2">
      <c r="A69" s="207"/>
      <c r="B69" s="208"/>
      <c r="C69" s="245"/>
      <c r="D69" s="245"/>
      <c r="E69" s="245"/>
      <c r="F69" s="245"/>
      <c r="G69" s="245"/>
      <c r="H69" s="245"/>
      <c r="I69" s="245"/>
      <c r="J69" s="245"/>
      <c r="K69" s="245"/>
      <c r="L69" s="245"/>
      <c r="M69" s="330"/>
      <c r="N69" s="331"/>
      <c r="O69" s="331"/>
      <c r="P69" s="332"/>
      <c r="Q69" s="193"/>
      <c r="R69" s="194"/>
      <c r="S69" s="194"/>
    </row>
    <row r="70" spans="1:19" ht="18" customHeight="1" x14ac:dyDescent="0.2">
      <c r="A70" s="207" t="s">
        <v>46</v>
      </c>
      <c r="B70" s="208"/>
      <c r="C70" s="260" t="s">
        <v>355</v>
      </c>
      <c r="D70" s="260"/>
      <c r="E70" s="260"/>
      <c r="F70" s="260"/>
      <c r="G70" s="260"/>
      <c r="H70" s="260"/>
      <c r="I70" s="260"/>
      <c r="J70" s="260"/>
      <c r="K70" s="260"/>
      <c r="L70" s="260"/>
      <c r="M70" s="239">
        <f>M64-M68</f>
        <v>815924</v>
      </c>
      <c r="N70" s="239"/>
      <c r="O70" s="239"/>
      <c r="P70" s="240"/>
      <c r="Q70" s="193"/>
      <c r="R70" s="194"/>
      <c r="S70" s="194"/>
    </row>
    <row r="71" spans="1:19" ht="13.5" customHeight="1" thickBot="1" x14ac:dyDescent="0.25">
      <c r="A71" s="207"/>
      <c r="B71" s="208"/>
      <c r="C71" s="245"/>
      <c r="D71" s="245"/>
      <c r="E71" s="245"/>
      <c r="F71" s="245"/>
      <c r="G71" s="245"/>
      <c r="H71" s="245"/>
      <c r="I71" s="245"/>
      <c r="J71" s="245"/>
      <c r="K71" s="245"/>
      <c r="L71" s="245"/>
      <c r="M71" s="239"/>
      <c r="N71" s="239"/>
      <c r="O71" s="239"/>
      <c r="P71" s="240"/>
      <c r="Q71" s="193"/>
      <c r="R71" s="194"/>
      <c r="S71" s="194"/>
    </row>
    <row r="72" spans="1:19" x14ac:dyDescent="0.2">
      <c r="A72" s="264" t="s">
        <v>44</v>
      </c>
      <c r="B72" s="265"/>
      <c r="C72" s="265"/>
      <c r="D72" s="265"/>
      <c r="E72" s="265"/>
      <c r="F72" s="265"/>
      <c r="G72" s="265"/>
      <c r="H72" s="265"/>
      <c r="I72" s="265"/>
      <c r="J72" s="265"/>
      <c r="K72" s="265"/>
      <c r="L72" s="265"/>
      <c r="M72" s="265"/>
      <c r="N72" s="265"/>
      <c r="O72" s="265"/>
      <c r="P72" s="266"/>
      <c r="Q72" s="193"/>
      <c r="R72" s="194"/>
      <c r="S72" s="194"/>
    </row>
    <row r="73" spans="1:19" ht="13.5" thickBot="1" x14ac:dyDescent="0.25">
      <c r="A73" s="267"/>
      <c r="B73" s="268"/>
      <c r="C73" s="268"/>
      <c r="D73" s="268"/>
      <c r="E73" s="268"/>
      <c r="F73" s="268"/>
      <c r="G73" s="268"/>
      <c r="H73" s="268"/>
      <c r="I73" s="268"/>
      <c r="J73" s="268"/>
      <c r="K73" s="268"/>
      <c r="L73" s="268"/>
      <c r="M73" s="268"/>
      <c r="N73" s="268"/>
      <c r="O73" s="268"/>
      <c r="P73" s="269"/>
      <c r="Q73" s="193"/>
      <c r="R73" s="194"/>
      <c r="S73" s="194"/>
    </row>
    <row r="74" spans="1:19" ht="26.25" customHeight="1" x14ac:dyDescent="0.2">
      <c r="A74" s="207" t="s">
        <v>47</v>
      </c>
      <c r="B74" s="208"/>
      <c r="C74" s="171" t="s">
        <v>140</v>
      </c>
      <c r="D74" s="172"/>
      <c r="E74" s="172"/>
      <c r="F74" s="172"/>
      <c r="G74" s="172"/>
      <c r="H74" s="172"/>
      <c r="I74" s="172"/>
      <c r="J74" s="172"/>
      <c r="K74" s="172"/>
      <c r="L74" s="172"/>
      <c r="M74" s="172"/>
      <c r="N74" s="172"/>
      <c r="O74" s="172"/>
      <c r="P74" s="173"/>
      <c r="Q74" s="193"/>
      <c r="R74" s="194"/>
      <c r="S74" s="194"/>
    </row>
    <row r="75" spans="1:19" ht="26.25" customHeight="1" x14ac:dyDescent="0.2">
      <c r="A75" s="179" t="s">
        <v>103</v>
      </c>
      <c r="B75" s="180"/>
      <c r="C75" s="131" t="s">
        <v>106</v>
      </c>
      <c r="D75" s="181"/>
      <c r="E75" s="188"/>
      <c r="F75" s="188"/>
      <c r="G75" s="188"/>
      <c r="H75" s="188"/>
      <c r="I75" s="189"/>
      <c r="J75" s="179" t="s">
        <v>109</v>
      </c>
      <c r="K75" s="180"/>
      <c r="L75" s="131" t="s">
        <v>112</v>
      </c>
      <c r="M75" s="261"/>
      <c r="N75" s="262"/>
      <c r="O75" s="262"/>
      <c r="P75" s="263"/>
      <c r="Q75" s="205" t="s">
        <v>353</v>
      </c>
    </row>
    <row r="76" spans="1:19" ht="26.25" customHeight="1" x14ac:dyDescent="0.2">
      <c r="A76" s="179" t="s">
        <v>104</v>
      </c>
      <c r="B76" s="180"/>
      <c r="C76" s="131" t="s">
        <v>107</v>
      </c>
      <c r="D76" s="181"/>
      <c r="E76" s="188"/>
      <c r="F76" s="188"/>
      <c r="G76" s="188"/>
      <c r="H76" s="188"/>
      <c r="I76" s="189"/>
      <c r="J76" s="179" t="s">
        <v>110</v>
      </c>
      <c r="K76" s="180"/>
      <c r="L76" s="131" t="s">
        <v>113</v>
      </c>
      <c r="M76" s="261"/>
      <c r="N76" s="262"/>
      <c r="O76" s="262"/>
      <c r="P76" s="263"/>
      <c r="Q76" s="206"/>
    </row>
    <row r="77" spans="1:19" ht="26.25" customHeight="1" x14ac:dyDescent="0.2">
      <c r="A77" s="179" t="s">
        <v>105</v>
      </c>
      <c r="B77" s="180"/>
      <c r="C77" s="131" t="s">
        <v>108</v>
      </c>
      <c r="D77" s="181"/>
      <c r="E77" s="188"/>
      <c r="F77" s="188"/>
      <c r="G77" s="188"/>
      <c r="H77" s="188"/>
      <c r="I77" s="189"/>
      <c r="J77" s="179" t="s">
        <v>111</v>
      </c>
      <c r="K77" s="180"/>
      <c r="L77" s="131" t="s">
        <v>114</v>
      </c>
      <c r="M77" s="261"/>
      <c r="N77" s="262"/>
      <c r="O77" s="262"/>
      <c r="P77" s="263"/>
      <c r="Q77" s="133"/>
    </row>
    <row r="78" spans="1:19" ht="26.25" customHeight="1" thickBot="1" x14ac:dyDescent="0.25">
      <c r="A78" s="174"/>
      <c r="B78" s="175"/>
      <c r="C78" s="314" t="s">
        <v>115</v>
      </c>
      <c r="D78" s="315"/>
      <c r="E78" s="315"/>
      <c r="F78" s="315"/>
      <c r="G78" s="315"/>
      <c r="H78" s="315"/>
      <c r="I78" s="315"/>
      <c r="J78" s="315"/>
      <c r="K78" s="316"/>
      <c r="L78" s="131" t="s">
        <v>150</v>
      </c>
      <c r="M78" s="176">
        <f>D75+D76+D77+M75+M76+M77</f>
        <v>0</v>
      </c>
      <c r="N78" s="177"/>
      <c r="O78" s="177"/>
      <c r="P78" s="178"/>
      <c r="Q78" s="133"/>
    </row>
    <row r="79" spans="1:19" ht="26.25" customHeight="1" x14ac:dyDescent="0.2">
      <c r="A79" s="207" t="s">
        <v>48</v>
      </c>
      <c r="B79" s="208"/>
      <c r="C79" s="171" t="s">
        <v>151</v>
      </c>
      <c r="D79" s="172"/>
      <c r="E79" s="172"/>
      <c r="F79" s="172"/>
      <c r="G79" s="172"/>
      <c r="H79" s="172"/>
      <c r="I79" s="172"/>
      <c r="J79" s="172"/>
      <c r="K79" s="172"/>
      <c r="L79" s="172"/>
      <c r="M79" s="172" t="e">
        <f>#REF!</f>
        <v>#REF!</v>
      </c>
      <c r="N79" s="172"/>
      <c r="O79" s="172"/>
      <c r="P79" s="173"/>
      <c r="Q79" s="133"/>
    </row>
    <row r="80" spans="1:19" ht="26.25" customHeight="1" x14ac:dyDescent="0.2">
      <c r="A80" s="179" t="s">
        <v>103</v>
      </c>
      <c r="B80" s="180"/>
      <c r="C80" s="131" t="s">
        <v>106</v>
      </c>
      <c r="D80" s="187"/>
      <c r="E80" s="188"/>
      <c r="F80" s="188"/>
      <c r="G80" s="188"/>
      <c r="H80" s="188"/>
      <c r="I80" s="189"/>
      <c r="J80" s="179" t="s">
        <v>109</v>
      </c>
      <c r="K80" s="180"/>
      <c r="L80" s="131" t="s">
        <v>112</v>
      </c>
      <c r="M80" s="190"/>
      <c r="N80" s="191"/>
      <c r="O80" s="191"/>
      <c r="P80" s="192"/>
      <c r="Q80" s="133"/>
    </row>
    <row r="81" spans="1:17" ht="26.25" customHeight="1" x14ac:dyDescent="0.2">
      <c r="A81" s="179" t="s">
        <v>104</v>
      </c>
      <c r="B81" s="180"/>
      <c r="C81" s="131" t="s">
        <v>107</v>
      </c>
      <c r="D81" s="187"/>
      <c r="E81" s="188"/>
      <c r="F81" s="188"/>
      <c r="G81" s="188"/>
      <c r="H81" s="188"/>
      <c r="I81" s="189"/>
      <c r="J81" s="179" t="s">
        <v>110</v>
      </c>
      <c r="K81" s="180"/>
      <c r="L81" s="131" t="s">
        <v>113</v>
      </c>
      <c r="M81" s="190"/>
      <c r="N81" s="191"/>
      <c r="O81" s="191"/>
      <c r="P81" s="192"/>
      <c r="Q81" s="133"/>
    </row>
    <row r="82" spans="1:17" ht="26.25" customHeight="1" x14ac:dyDescent="0.2">
      <c r="A82" s="179" t="s">
        <v>105</v>
      </c>
      <c r="B82" s="180"/>
      <c r="C82" s="131" t="s">
        <v>108</v>
      </c>
      <c r="D82" s="187"/>
      <c r="E82" s="188"/>
      <c r="F82" s="188"/>
      <c r="G82" s="188"/>
      <c r="H82" s="188"/>
      <c r="I82" s="189"/>
      <c r="J82" s="179" t="s">
        <v>111</v>
      </c>
      <c r="K82" s="180"/>
      <c r="L82" s="131" t="s">
        <v>114</v>
      </c>
      <c r="M82" s="190"/>
      <c r="N82" s="191"/>
      <c r="O82" s="191"/>
      <c r="P82" s="192"/>
      <c r="Q82" s="133"/>
    </row>
    <row r="83" spans="1:17" ht="26.25" customHeight="1" thickBot="1" x14ac:dyDescent="0.25">
      <c r="A83" s="174"/>
      <c r="B83" s="175"/>
      <c r="C83" s="314" t="s">
        <v>115</v>
      </c>
      <c r="D83" s="315"/>
      <c r="E83" s="315"/>
      <c r="F83" s="315"/>
      <c r="G83" s="315"/>
      <c r="H83" s="315"/>
      <c r="I83" s="315"/>
      <c r="J83" s="315"/>
      <c r="K83" s="316"/>
      <c r="L83" s="131" t="s">
        <v>150</v>
      </c>
      <c r="M83" s="176">
        <f>D80+D81+D82+M80+M81+M82</f>
        <v>0</v>
      </c>
      <c r="N83" s="177"/>
      <c r="O83" s="177"/>
      <c r="P83" s="178"/>
      <c r="Q83" s="133"/>
    </row>
    <row r="84" spans="1:17" ht="26.25" customHeight="1" x14ac:dyDescent="0.2">
      <c r="A84" s="207" t="s">
        <v>49</v>
      </c>
      <c r="B84" s="208"/>
      <c r="C84" s="171" t="s">
        <v>152</v>
      </c>
      <c r="D84" s="172"/>
      <c r="E84" s="172"/>
      <c r="F84" s="172"/>
      <c r="G84" s="172"/>
      <c r="H84" s="172"/>
      <c r="I84" s="172"/>
      <c r="J84" s="172"/>
      <c r="K84" s="172"/>
      <c r="L84" s="172"/>
      <c r="M84" s="172" t="e">
        <f>#REF!</f>
        <v>#REF!</v>
      </c>
      <c r="N84" s="172"/>
      <c r="O84" s="172"/>
      <c r="P84" s="173"/>
      <c r="Q84" s="133"/>
    </row>
    <row r="85" spans="1:17" ht="26.25" customHeight="1" x14ac:dyDescent="0.2">
      <c r="A85" s="179" t="s">
        <v>103</v>
      </c>
      <c r="B85" s="180"/>
      <c r="C85" s="131" t="s">
        <v>106</v>
      </c>
      <c r="D85" s="181"/>
      <c r="E85" s="188"/>
      <c r="F85" s="188"/>
      <c r="G85" s="188"/>
      <c r="H85" s="188"/>
      <c r="I85" s="189"/>
      <c r="J85" s="179" t="s">
        <v>109</v>
      </c>
      <c r="K85" s="180"/>
      <c r="L85" s="131" t="s">
        <v>112</v>
      </c>
      <c r="M85" s="261"/>
      <c r="N85" s="262"/>
      <c r="O85" s="262"/>
      <c r="P85" s="263"/>
      <c r="Q85" s="133"/>
    </row>
    <row r="86" spans="1:17" ht="26.25" customHeight="1" x14ac:dyDescent="0.2">
      <c r="A86" s="179" t="s">
        <v>104</v>
      </c>
      <c r="B86" s="180"/>
      <c r="C86" s="131" t="s">
        <v>107</v>
      </c>
      <c r="D86" s="181"/>
      <c r="E86" s="188"/>
      <c r="F86" s="188"/>
      <c r="G86" s="188"/>
      <c r="H86" s="188"/>
      <c r="I86" s="189"/>
      <c r="J86" s="179" t="s">
        <v>110</v>
      </c>
      <c r="K86" s="180"/>
      <c r="L86" s="131" t="s">
        <v>113</v>
      </c>
      <c r="M86" s="261"/>
      <c r="N86" s="262"/>
      <c r="O86" s="262"/>
      <c r="P86" s="263"/>
      <c r="Q86" s="133"/>
    </row>
    <row r="87" spans="1:17" ht="26.25" customHeight="1" x14ac:dyDescent="0.2">
      <c r="A87" s="179" t="s">
        <v>105</v>
      </c>
      <c r="B87" s="180"/>
      <c r="C87" s="131" t="s">
        <v>108</v>
      </c>
      <c r="D87" s="181"/>
      <c r="E87" s="188"/>
      <c r="F87" s="188"/>
      <c r="G87" s="188"/>
      <c r="H87" s="188"/>
      <c r="I87" s="189"/>
      <c r="J87" s="179" t="s">
        <v>111</v>
      </c>
      <c r="K87" s="180"/>
      <c r="L87" s="131" t="s">
        <v>114</v>
      </c>
      <c r="M87" s="261"/>
      <c r="N87" s="262"/>
      <c r="O87" s="262"/>
      <c r="P87" s="263"/>
      <c r="Q87" s="133"/>
    </row>
    <row r="88" spans="1:17" ht="26.25" customHeight="1" thickBot="1" x14ac:dyDescent="0.25">
      <c r="A88" s="179"/>
      <c r="B88" s="180"/>
      <c r="C88" s="314" t="s">
        <v>115</v>
      </c>
      <c r="D88" s="315"/>
      <c r="E88" s="315"/>
      <c r="F88" s="315"/>
      <c r="G88" s="315"/>
      <c r="H88" s="315"/>
      <c r="I88" s="315"/>
      <c r="J88" s="315"/>
      <c r="K88" s="316"/>
      <c r="L88" s="131" t="s">
        <v>150</v>
      </c>
      <c r="M88" s="176">
        <f>D85+D86+D87+M85+M86+M87</f>
        <v>0</v>
      </c>
      <c r="N88" s="177"/>
      <c r="O88" s="177"/>
      <c r="P88" s="178"/>
      <c r="Q88" s="133"/>
    </row>
    <row r="89" spans="1:17" ht="26.25" customHeight="1" x14ac:dyDescent="0.2">
      <c r="A89" s="207" t="s">
        <v>50</v>
      </c>
      <c r="B89" s="208"/>
      <c r="C89" s="171" t="s">
        <v>153</v>
      </c>
      <c r="D89" s="172"/>
      <c r="E89" s="172"/>
      <c r="F89" s="172"/>
      <c r="G89" s="172"/>
      <c r="H89" s="172"/>
      <c r="I89" s="172"/>
      <c r="J89" s="172"/>
      <c r="K89" s="172"/>
      <c r="L89" s="172"/>
      <c r="M89" s="172" t="e">
        <f>M84*10%</f>
        <v>#REF!</v>
      </c>
      <c r="N89" s="172"/>
      <c r="O89" s="172"/>
      <c r="P89" s="173"/>
      <c r="Q89" s="133"/>
    </row>
    <row r="90" spans="1:17" ht="26.25" customHeight="1" x14ac:dyDescent="0.2">
      <c r="A90" s="179" t="s">
        <v>103</v>
      </c>
      <c r="B90" s="180"/>
      <c r="C90" s="131" t="s">
        <v>106</v>
      </c>
      <c r="D90" s="181"/>
      <c r="E90" s="182"/>
      <c r="F90" s="182"/>
      <c r="G90" s="182"/>
      <c r="H90" s="182"/>
      <c r="I90" s="203"/>
      <c r="J90" s="179" t="s">
        <v>109</v>
      </c>
      <c r="K90" s="180"/>
      <c r="L90" s="131" t="s">
        <v>112</v>
      </c>
      <c r="M90" s="222"/>
      <c r="N90" s="223"/>
      <c r="O90" s="223"/>
      <c r="P90" s="224"/>
      <c r="Q90" s="133"/>
    </row>
    <row r="91" spans="1:17" ht="26.25" customHeight="1" x14ac:dyDescent="0.2">
      <c r="A91" s="179" t="s">
        <v>104</v>
      </c>
      <c r="B91" s="180"/>
      <c r="C91" s="131" t="s">
        <v>107</v>
      </c>
      <c r="D91" s="181"/>
      <c r="E91" s="182"/>
      <c r="F91" s="182"/>
      <c r="G91" s="182"/>
      <c r="H91" s="182"/>
      <c r="I91" s="203"/>
      <c r="J91" s="179" t="s">
        <v>110</v>
      </c>
      <c r="K91" s="180"/>
      <c r="L91" s="131" t="s">
        <v>113</v>
      </c>
      <c r="M91" s="222"/>
      <c r="N91" s="223"/>
      <c r="O91" s="223"/>
      <c r="P91" s="224"/>
      <c r="Q91" s="133"/>
    </row>
    <row r="92" spans="1:17" ht="26.25" customHeight="1" x14ac:dyDescent="0.2">
      <c r="A92" s="179" t="s">
        <v>105</v>
      </c>
      <c r="B92" s="180"/>
      <c r="C92" s="131" t="s">
        <v>108</v>
      </c>
      <c r="D92" s="181"/>
      <c r="E92" s="182"/>
      <c r="F92" s="182"/>
      <c r="G92" s="182"/>
      <c r="H92" s="182"/>
      <c r="I92" s="203"/>
      <c r="J92" s="179" t="s">
        <v>111</v>
      </c>
      <c r="K92" s="180"/>
      <c r="L92" s="131" t="s">
        <v>114</v>
      </c>
      <c r="M92" s="222"/>
      <c r="N92" s="223"/>
      <c r="O92" s="223"/>
      <c r="P92" s="224"/>
      <c r="Q92" s="133"/>
    </row>
    <row r="93" spans="1:17" ht="26.25" customHeight="1" thickBot="1" x14ac:dyDescent="0.25">
      <c r="A93" s="179"/>
      <c r="B93" s="180"/>
      <c r="C93" s="314" t="s">
        <v>115</v>
      </c>
      <c r="D93" s="315"/>
      <c r="E93" s="315"/>
      <c r="F93" s="315"/>
      <c r="G93" s="315"/>
      <c r="H93" s="315"/>
      <c r="I93" s="315"/>
      <c r="J93" s="315"/>
      <c r="K93" s="316"/>
      <c r="L93" s="131" t="s">
        <v>150</v>
      </c>
      <c r="M93" s="176">
        <f>D90+D91+D92+M90+M91+M92</f>
        <v>0</v>
      </c>
      <c r="N93" s="177"/>
      <c r="O93" s="177"/>
      <c r="P93" s="178"/>
      <c r="Q93" s="133"/>
    </row>
    <row r="94" spans="1:17" ht="26.25" customHeight="1" x14ac:dyDescent="0.2">
      <c r="A94" s="207" t="s">
        <v>51</v>
      </c>
      <c r="B94" s="208"/>
      <c r="C94" s="171" t="s">
        <v>154</v>
      </c>
      <c r="D94" s="172"/>
      <c r="E94" s="172"/>
      <c r="F94" s="172"/>
      <c r="G94" s="172"/>
      <c r="H94" s="172"/>
      <c r="I94" s="172"/>
      <c r="J94" s="172"/>
      <c r="K94" s="172"/>
      <c r="L94" s="172"/>
      <c r="M94" s="172" t="e">
        <f>M89*10%</f>
        <v>#REF!</v>
      </c>
      <c r="N94" s="172"/>
      <c r="O94" s="172"/>
      <c r="P94" s="173"/>
      <c r="Q94" s="85"/>
    </row>
    <row r="95" spans="1:17" ht="26.25" customHeight="1" x14ac:dyDescent="0.2">
      <c r="A95" s="179" t="s">
        <v>103</v>
      </c>
      <c r="B95" s="180"/>
      <c r="C95" s="131" t="s">
        <v>106</v>
      </c>
      <c r="D95" s="181"/>
      <c r="E95" s="182"/>
      <c r="F95" s="182"/>
      <c r="G95" s="182"/>
      <c r="H95" s="182"/>
      <c r="I95" s="203"/>
      <c r="J95" s="179" t="s">
        <v>109</v>
      </c>
      <c r="K95" s="180"/>
      <c r="L95" s="131" t="s">
        <v>112</v>
      </c>
      <c r="M95" s="181"/>
      <c r="N95" s="182"/>
      <c r="O95" s="182"/>
      <c r="P95" s="182"/>
      <c r="Q95" s="133"/>
    </row>
    <row r="96" spans="1:17" ht="26.25" customHeight="1" x14ac:dyDescent="0.2">
      <c r="A96" s="179" t="s">
        <v>104</v>
      </c>
      <c r="B96" s="180"/>
      <c r="C96" s="131" t="s">
        <v>107</v>
      </c>
      <c r="D96" s="181"/>
      <c r="E96" s="182"/>
      <c r="F96" s="182"/>
      <c r="G96" s="182"/>
      <c r="H96" s="182"/>
      <c r="I96" s="203"/>
      <c r="J96" s="179" t="s">
        <v>110</v>
      </c>
      <c r="K96" s="180"/>
      <c r="L96" s="131" t="s">
        <v>113</v>
      </c>
      <c r="M96" s="181"/>
      <c r="N96" s="182"/>
      <c r="O96" s="182"/>
      <c r="P96" s="182"/>
      <c r="Q96" s="133"/>
    </row>
    <row r="97" spans="1:17" ht="26.25" customHeight="1" x14ac:dyDescent="0.2">
      <c r="A97" s="179" t="s">
        <v>105</v>
      </c>
      <c r="B97" s="180"/>
      <c r="C97" s="131" t="s">
        <v>108</v>
      </c>
      <c r="D97" s="181"/>
      <c r="E97" s="182"/>
      <c r="F97" s="182"/>
      <c r="G97" s="182"/>
      <c r="H97" s="182"/>
      <c r="I97" s="203"/>
      <c r="J97" s="179" t="s">
        <v>111</v>
      </c>
      <c r="K97" s="180"/>
      <c r="L97" s="131" t="s">
        <v>114</v>
      </c>
      <c r="M97" s="181"/>
      <c r="N97" s="182"/>
      <c r="O97" s="182"/>
      <c r="P97" s="182"/>
      <c r="Q97" s="133"/>
    </row>
    <row r="98" spans="1:17" ht="26.25" customHeight="1" thickBot="1" x14ac:dyDescent="0.25">
      <c r="A98" s="179"/>
      <c r="B98" s="180"/>
      <c r="C98" s="314" t="s">
        <v>115</v>
      </c>
      <c r="D98" s="315"/>
      <c r="E98" s="315"/>
      <c r="F98" s="315"/>
      <c r="G98" s="315"/>
      <c r="H98" s="315"/>
      <c r="I98" s="315"/>
      <c r="J98" s="315"/>
      <c r="K98" s="316"/>
      <c r="L98" s="131" t="s">
        <v>150</v>
      </c>
      <c r="M98" s="176">
        <f>D95+D96+D97+M95+M96+M97</f>
        <v>0</v>
      </c>
      <c r="N98" s="177"/>
      <c r="O98" s="177"/>
      <c r="P98" s="178"/>
      <c r="Q98" s="133"/>
    </row>
    <row r="99" spans="1:17" ht="4.9000000000000004" customHeight="1" x14ac:dyDescent="0.2">
      <c r="A99" s="216" t="s">
        <v>253</v>
      </c>
      <c r="B99" s="217"/>
      <c r="C99" s="217"/>
      <c r="D99" s="217"/>
      <c r="E99" s="217"/>
      <c r="F99" s="217"/>
      <c r="G99" s="217"/>
      <c r="H99" s="217"/>
      <c r="I99" s="217"/>
      <c r="J99" s="217"/>
      <c r="K99" s="217"/>
      <c r="L99" s="217"/>
      <c r="M99" s="217"/>
      <c r="N99" s="217"/>
      <c r="O99" s="217"/>
      <c r="P99" s="218"/>
    </row>
    <row r="100" spans="1:17" ht="13.5" thickBot="1" x14ac:dyDescent="0.25">
      <c r="A100" s="219"/>
      <c r="B100" s="220"/>
      <c r="C100" s="220"/>
      <c r="D100" s="220"/>
      <c r="E100" s="220"/>
      <c r="F100" s="220"/>
      <c r="G100" s="220"/>
      <c r="H100" s="220"/>
      <c r="I100" s="220"/>
      <c r="J100" s="220"/>
      <c r="K100" s="220"/>
      <c r="L100" s="220"/>
      <c r="M100" s="220"/>
      <c r="N100" s="220"/>
      <c r="O100" s="220"/>
      <c r="P100" s="221"/>
    </row>
    <row r="101" spans="1:17" ht="26.25" customHeight="1" x14ac:dyDescent="0.2">
      <c r="A101" s="207" t="s">
        <v>52</v>
      </c>
      <c r="B101" s="208"/>
      <c r="C101" s="171" t="s">
        <v>227</v>
      </c>
      <c r="D101" s="172"/>
      <c r="E101" s="172"/>
      <c r="F101" s="172"/>
      <c r="G101" s="172"/>
      <c r="H101" s="172"/>
      <c r="I101" s="172"/>
      <c r="J101" s="172"/>
      <c r="K101" s="172"/>
      <c r="L101" s="172"/>
      <c r="M101" s="172" t="e">
        <f>#REF!</f>
        <v>#REF!</v>
      </c>
      <c r="N101" s="172"/>
      <c r="O101" s="172"/>
      <c r="P101" s="173"/>
      <c r="Q101" s="133"/>
    </row>
    <row r="102" spans="1:17" ht="26.25" customHeight="1" x14ac:dyDescent="0.2">
      <c r="A102" s="179" t="s">
        <v>103</v>
      </c>
      <c r="B102" s="180"/>
      <c r="C102" s="131" t="s">
        <v>106</v>
      </c>
      <c r="D102" s="181">
        <f>'2.1'!AE26+'3гпх'!AA27+дивид!Y27</f>
        <v>430000</v>
      </c>
      <c r="E102" s="182"/>
      <c r="F102" s="182"/>
      <c r="G102" s="182"/>
      <c r="H102" s="182"/>
      <c r="I102" s="203"/>
      <c r="J102" s="179" t="s">
        <v>109</v>
      </c>
      <c r="K102" s="180"/>
      <c r="L102" s="131" t="s">
        <v>112</v>
      </c>
      <c r="M102" s="181">
        <f>'2.4'!AE26+'3гпх'!AG27+дивид!AE27</f>
        <v>340000</v>
      </c>
      <c r="N102" s="182"/>
      <c r="O102" s="182"/>
      <c r="P102" s="182"/>
      <c r="Q102" s="86"/>
    </row>
    <row r="103" spans="1:17" ht="26.25" customHeight="1" x14ac:dyDescent="0.2">
      <c r="A103" s="179" t="s">
        <v>104</v>
      </c>
      <c r="B103" s="180"/>
      <c r="C103" s="131" t="s">
        <v>107</v>
      </c>
      <c r="D103" s="181">
        <f>'2.2'!AE26+'3гпх'!AC27+дивид!AA27</f>
        <v>430000</v>
      </c>
      <c r="E103" s="182"/>
      <c r="F103" s="182"/>
      <c r="G103" s="182"/>
      <c r="H103" s="182"/>
      <c r="I103" s="203"/>
      <c r="J103" s="179" t="s">
        <v>110</v>
      </c>
      <c r="K103" s="180"/>
      <c r="L103" s="131" t="s">
        <v>113</v>
      </c>
      <c r="M103" s="181">
        <f>'2.5'!AE26+'3гпх'!AI27+дивид!AG27</f>
        <v>180000</v>
      </c>
      <c r="N103" s="182"/>
      <c r="O103" s="182"/>
      <c r="P103" s="182"/>
      <c r="Q103" s="133"/>
    </row>
    <row r="104" spans="1:17" ht="26.25" customHeight="1" x14ac:dyDescent="0.2">
      <c r="A104" s="179" t="s">
        <v>105</v>
      </c>
      <c r="B104" s="180"/>
      <c r="C104" s="131" t="s">
        <v>108</v>
      </c>
      <c r="D104" s="181">
        <f>'2.3'!AE26+'3гпх'!AE27+дивид!AC27</f>
        <v>430000</v>
      </c>
      <c r="E104" s="182"/>
      <c r="F104" s="182"/>
      <c r="G104" s="182"/>
      <c r="H104" s="182"/>
      <c r="I104" s="203"/>
      <c r="J104" s="179" t="s">
        <v>111</v>
      </c>
      <c r="K104" s="180"/>
      <c r="L104" s="131" t="s">
        <v>114</v>
      </c>
      <c r="M104" s="181">
        <f>'2.6'!AE26+'3гпх'!AK27+дивид!AI27</f>
        <v>180000</v>
      </c>
      <c r="N104" s="182"/>
      <c r="O104" s="182"/>
      <c r="P104" s="182"/>
      <c r="Q104" s="133"/>
    </row>
    <row r="105" spans="1:17" ht="26.25" customHeight="1" x14ac:dyDescent="0.2">
      <c r="A105" s="179"/>
      <c r="B105" s="180"/>
      <c r="C105" s="210" t="s">
        <v>115</v>
      </c>
      <c r="D105" s="211"/>
      <c r="E105" s="211"/>
      <c r="F105" s="211"/>
      <c r="G105" s="211"/>
      <c r="H105" s="211"/>
      <c r="I105" s="211"/>
      <c r="J105" s="211"/>
      <c r="K105" s="212"/>
      <c r="L105" s="131" t="s">
        <v>150</v>
      </c>
      <c r="M105" s="200">
        <f>D102+D103+D104+M102+M103+M104</f>
        <v>1990000</v>
      </c>
      <c r="N105" s="201"/>
      <c r="O105" s="201"/>
      <c r="P105" s="202"/>
      <c r="Q105" s="133"/>
    </row>
    <row r="106" spans="1:17" ht="16.899999999999999" customHeight="1" x14ac:dyDescent="0.2">
      <c r="A106" s="87" t="s">
        <v>228</v>
      </c>
      <c r="B106" s="88"/>
      <c r="C106" s="89"/>
      <c r="D106" s="89"/>
      <c r="E106" s="89"/>
      <c r="F106" s="89"/>
      <c r="G106" s="89"/>
      <c r="H106" s="89"/>
      <c r="I106" s="89"/>
      <c r="J106" s="89"/>
      <c r="K106" s="89"/>
      <c r="L106" s="135"/>
      <c r="M106" s="90"/>
      <c r="N106" s="90"/>
      <c r="O106" s="90"/>
      <c r="P106" s="90"/>
      <c r="Q106" s="91"/>
    </row>
    <row r="107" spans="1:17" ht="16.899999999999999" customHeight="1" x14ac:dyDescent="0.2">
      <c r="A107" s="92" t="s">
        <v>185</v>
      </c>
      <c r="B107" s="341" t="s">
        <v>229</v>
      </c>
      <c r="C107" s="342"/>
      <c r="D107" s="342"/>
      <c r="E107" s="342"/>
      <c r="F107" s="342"/>
      <c r="G107" s="342"/>
      <c r="H107" s="342"/>
      <c r="I107" s="342"/>
      <c r="J107" s="342"/>
      <c r="K107" s="343"/>
      <c r="L107" s="135"/>
      <c r="M107" s="181">
        <f>'2.1'!AE26+'2.2'!AE26+'2.3'!AE26+'2.4'!AE26+'2.5'!AE26+'2.6'!AE26</f>
        <v>1830000</v>
      </c>
      <c r="N107" s="182"/>
      <c r="O107" s="182"/>
      <c r="P107" s="203"/>
      <c r="Q107" s="86"/>
    </row>
    <row r="108" spans="1:17" ht="16.899999999999999" customHeight="1" x14ac:dyDescent="0.2">
      <c r="A108" s="92" t="s">
        <v>186</v>
      </c>
      <c r="B108" s="341" t="s">
        <v>230</v>
      </c>
      <c r="C108" s="342"/>
      <c r="D108" s="342"/>
      <c r="E108" s="342"/>
      <c r="F108" s="342"/>
      <c r="G108" s="342"/>
      <c r="H108" s="342"/>
      <c r="I108" s="342"/>
      <c r="J108" s="342"/>
      <c r="K108" s="343"/>
      <c r="L108" s="135"/>
      <c r="M108" s="181">
        <f>дивид!AK27</f>
        <v>0</v>
      </c>
      <c r="N108" s="182"/>
      <c r="O108" s="182"/>
      <c r="P108" s="203"/>
      <c r="Q108" s="91"/>
    </row>
    <row r="109" spans="1:17" ht="16.899999999999999" customHeight="1" x14ac:dyDescent="0.2">
      <c r="A109" s="92" t="s">
        <v>187</v>
      </c>
      <c r="B109" s="341" t="s">
        <v>231</v>
      </c>
      <c r="C109" s="342"/>
      <c r="D109" s="342"/>
      <c r="E109" s="342"/>
      <c r="F109" s="342"/>
      <c r="G109" s="342"/>
      <c r="H109" s="342"/>
      <c r="I109" s="342"/>
      <c r="J109" s="342"/>
      <c r="K109" s="343"/>
      <c r="L109" s="135"/>
      <c r="M109" s="338"/>
      <c r="N109" s="339"/>
      <c r="O109" s="339"/>
      <c r="P109" s="340"/>
      <c r="Q109" s="91"/>
    </row>
    <row r="110" spans="1:17" ht="16.899999999999999" customHeight="1" x14ac:dyDescent="0.2">
      <c r="A110" s="92" t="s">
        <v>9</v>
      </c>
      <c r="B110" s="341" t="s">
        <v>232</v>
      </c>
      <c r="C110" s="342"/>
      <c r="D110" s="342"/>
      <c r="E110" s="342"/>
      <c r="F110" s="342"/>
      <c r="G110" s="342"/>
      <c r="H110" s="342"/>
      <c r="I110" s="342"/>
      <c r="J110" s="342"/>
      <c r="K110" s="343"/>
      <c r="L110" s="135"/>
      <c r="M110" s="338"/>
      <c r="N110" s="339"/>
      <c r="O110" s="339"/>
      <c r="P110" s="340"/>
      <c r="Q110" s="91"/>
    </row>
    <row r="111" spans="1:17" ht="30.6" customHeight="1" x14ac:dyDescent="0.2">
      <c r="A111" s="92" t="s">
        <v>206</v>
      </c>
      <c r="B111" s="344" t="s">
        <v>233</v>
      </c>
      <c r="C111" s="283"/>
      <c r="D111" s="283"/>
      <c r="E111" s="283"/>
      <c r="F111" s="283"/>
      <c r="G111" s="283"/>
      <c r="H111" s="283"/>
      <c r="I111" s="283"/>
      <c r="J111" s="283"/>
      <c r="K111" s="284"/>
      <c r="L111" s="135"/>
      <c r="M111" s="181">
        <f>'3гпх'!AA27+'3гпх'!AC27+'3гпх'!AE27+'3гпх'!AG27+'3гпх'!AI27+'3гпх'!AK27</f>
        <v>160000</v>
      </c>
      <c r="N111" s="182"/>
      <c r="O111" s="182"/>
      <c r="P111" s="203"/>
      <c r="Q111" s="91"/>
    </row>
    <row r="112" spans="1:17" ht="6" customHeight="1" x14ac:dyDescent="0.2">
      <c r="A112" s="216" t="s">
        <v>250</v>
      </c>
      <c r="B112" s="217"/>
      <c r="C112" s="217"/>
      <c r="D112" s="217"/>
      <c r="E112" s="217"/>
      <c r="F112" s="217"/>
      <c r="G112" s="217"/>
      <c r="H112" s="217"/>
      <c r="I112" s="217"/>
      <c r="J112" s="217"/>
      <c r="K112" s="217"/>
      <c r="L112" s="217"/>
      <c r="M112" s="217"/>
      <c r="N112" s="217"/>
      <c r="O112" s="217"/>
      <c r="P112" s="218"/>
    </row>
    <row r="113" spans="1:17" ht="12" customHeight="1" thickBot="1" x14ac:dyDescent="0.25">
      <c r="A113" s="219"/>
      <c r="B113" s="220"/>
      <c r="C113" s="220"/>
      <c r="D113" s="220"/>
      <c r="E113" s="220"/>
      <c r="F113" s="220"/>
      <c r="G113" s="220"/>
      <c r="H113" s="220"/>
      <c r="I113" s="220"/>
      <c r="J113" s="220"/>
      <c r="K113" s="220"/>
      <c r="L113" s="220"/>
      <c r="M113" s="220"/>
      <c r="N113" s="220"/>
      <c r="O113" s="220"/>
      <c r="P113" s="221"/>
    </row>
    <row r="114" spans="1:17" ht="26.25" customHeight="1" x14ac:dyDescent="0.2">
      <c r="A114" s="207" t="s">
        <v>53</v>
      </c>
      <c r="B114" s="208"/>
      <c r="C114" s="171" t="s">
        <v>136</v>
      </c>
      <c r="D114" s="172"/>
      <c r="E114" s="172"/>
      <c r="F114" s="172"/>
      <c r="G114" s="172"/>
      <c r="H114" s="172"/>
      <c r="I114" s="172"/>
      <c r="J114" s="172"/>
      <c r="K114" s="172"/>
      <c r="L114" s="172"/>
      <c r="M114" s="172" t="e">
        <f>#REF!</f>
        <v>#REF!</v>
      </c>
      <c r="N114" s="172"/>
      <c r="O114" s="172"/>
      <c r="P114" s="173"/>
      <c r="Q114" s="133"/>
    </row>
    <row r="115" spans="1:17" ht="26.25" customHeight="1" x14ac:dyDescent="0.2">
      <c r="A115" s="179" t="s">
        <v>103</v>
      </c>
      <c r="B115" s="180"/>
      <c r="C115" s="131" t="s">
        <v>106</v>
      </c>
      <c r="D115" s="181">
        <f>'2.1'!K26+'3гпх'!O27+дивид!M27</f>
        <v>29340</v>
      </c>
      <c r="E115" s="182"/>
      <c r="F115" s="182"/>
      <c r="G115" s="182"/>
      <c r="H115" s="182"/>
      <c r="I115" s="203"/>
      <c r="J115" s="179" t="s">
        <v>109</v>
      </c>
      <c r="K115" s="180"/>
      <c r="L115" s="131" t="s">
        <v>112</v>
      </c>
      <c r="M115" s="181">
        <f>'2.4'!K26+'3гпх'!U27+дивид!S27</f>
        <v>25670</v>
      </c>
      <c r="N115" s="182"/>
      <c r="O115" s="182"/>
      <c r="P115" s="182"/>
      <c r="Q115" s="133"/>
    </row>
    <row r="116" spans="1:17" ht="26.25" customHeight="1" x14ac:dyDescent="0.2">
      <c r="A116" s="179" t="s">
        <v>104</v>
      </c>
      <c r="B116" s="180"/>
      <c r="C116" s="131" t="s">
        <v>107</v>
      </c>
      <c r="D116" s="181">
        <f>'2.2'!K26+'3гпх'!Q27+дивид!O27</f>
        <v>29340</v>
      </c>
      <c r="E116" s="182"/>
      <c r="F116" s="182"/>
      <c r="G116" s="182"/>
      <c r="H116" s="182"/>
      <c r="I116" s="203"/>
      <c r="J116" s="179" t="s">
        <v>110</v>
      </c>
      <c r="K116" s="180"/>
      <c r="L116" s="131" t="s">
        <v>113</v>
      </c>
      <c r="M116" s="181">
        <f>'2.5'!K26+'3гпх'!W27+дивид!U27</f>
        <v>11590</v>
      </c>
      <c r="N116" s="182"/>
      <c r="O116" s="182"/>
      <c r="P116" s="182"/>
      <c r="Q116" s="133"/>
    </row>
    <row r="117" spans="1:17" ht="26.25" customHeight="1" x14ac:dyDescent="0.2">
      <c r="A117" s="179" t="s">
        <v>105</v>
      </c>
      <c r="B117" s="180"/>
      <c r="C117" s="131" t="s">
        <v>108</v>
      </c>
      <c r="D117" s="181">
        <f>'2.3'!K26+'3гпх'!S27+дивид!Q27</f>
        <v>29340</v>
      </c>
      <c r="E117" s="182"/>
      <c r="F117" s="182"/>
      <c r="G117" s="182"/>
      <c r="H117" s="182"/>
      <c r="I117" s="203"/>
      <c r="J117" s="179" t="s">
        <v>111</v>
      </c>
      <c r="K117" s="180"/>
      <c r="L117" s="131" t="s">
        <v>114</v>
      </c>
      <c r="M117" s="181">
        <f>'2.6'!K26+'3гпх'!Y27+дивид!W27</f>
        <v>11590</v>
      </c>
      <c r="N117" s="182"/>
      <c r="O117" s="182"/>
      <c r="P117" s="182"/>
      <c r="Q117" s="133"/>
    </row>
    <row r="118" spans="1:17" ht="26.25" customHeight="1" x14ac:dyDescent="0.2">
      <c r="A118" s="179"/>
      <c r="B118" s="180"/>
      <c r="C118" s="210" t="s">
        <v>115</v>
      </c>
      <c r="D118" s="211"/>
      <c r="E118" s="211"/>
      <c r="F118" s="211"/>
      <c r="G118" s="211"/>
      <c r="H118" s="211"/>
      <c r="I118" s="211"/>
      <c r="J118" s="211"/>
      <c r="K118" s="212"/>
      <c r="L118" s="131" t="s">
        <v>150</v>
      </c>
      <c r="M118" s="200">
        <f>D115+D116+D117+M115+M116+M117</f>
        <v>136870</v>
      </c>
      <c r="N118" s="201"/>
      <c r="O118" s="201"/>
      <c r="P118" s="209"/>
      <c r="Q118" s="91"/>
    </row>
    <row r="119" spans="1:17" ht="26.25" customHeight="1" x14ac:dyDescent="0.2">
      <c r="A119" s="207" t="s">
        <v>54</v>
      </c>
      <c r="B119" s="208"/>
      <c r="C119" s="213" t="s">
        <v>94</v>
      </c>
      <c r="D119" s="214"/>
      <c r="E119" s="214"/>
      <c r="F119" s="214"/>
      <c r="G119" s="214"/>
      <c r="H119" s="214"/>
      <c r="I119" s="214"/>
      <c r="J119" s="214"/>
      <c r="K119" s="214"/>
      <c r="L119" s="214"/>
      <c r="M119" s="214"/>
      <c r="N119" s="214"/>
      <c r="O119" s="214"/>
      <c r="P119" s="215"/>
      <c r="Q119" s="133"/>
    </row>
    <row r="120" spans="1:17" ht="26.25" customHeight="1" x14ac:dyDescent="0.2">
      <c r="A120" s="179" t="s">
        <v>103</v>
      </c>
      <c r="B120" s="180"/>
      <c r="C120" s="131" t="s">
        <v>106</v>
      </c>
      <c r="D120" s="181">
        <f>'2.1'!L26+'3гпх'!P27+дивид!N27</f>
        <v>20000</v>
      </c>
      <c r="E120" s="182"/>
      <c r="F120" s="182"/>
      <c r="G120" s="182"/>
      <c r="H120" s="182"/>
      <c r="I120" s="203"/>
      <c r="J120" s="179" t="s">
        <v>109</v>
      </c>
      <c r="K120" s="180"/>
      <c r="L120" s="131" t="s">
        <v>112</v>
      </c>
      <c r="M120" s="181">
        <f>'2.4'!L26+'3гпх'!V27+дивид!T27</f>
        <v>35110</v>
      </c>
      <c r="N120" s="182"/>
      <c r="O120" s="182"/>
      <c r="P120" s="182"/>
      <c r="Q120" s="133"/>
    </row>
    <row r="121" spans="1:17" ht="26.25" customHeight="1" x14ac:dyDescent="0.2">
      <c r="A121" s="179" t="s">
        <v>104</v>
      </c>
      <c r="B121" s="180"/>
      <c r="C121" s="131" t="s">
        <v>107</v>
      </c>
      <c r="D121" s="181">
        <f>'2.2'!L26+'3гпх'!R27+дивид!P27</f>
        <v>260110</v>
      </c>
      <c r="E121" s="182"/>
      <c r="F121" s="182"/>
      <c r="G121" s="182"/>
      <c r="H121" s="182"/>
      <c r="I121" s="203"/>
      <c r="J121" s="179" t="s">
        <v>110</v>
      </c>
      <c r="K121" s="180"/>
      <c r="L121" s="131" t="s">
        <v>113</v>
      </c>
      <c r="M121" s="181">
        <f>'2.5'!L26+'3гпх'!X27+дивид!V27</f>
        <v>35110</v>
      </c>
      <c r="N121" s="182"/>
      <c r="O121" s="182"/>
      <c r="P121" s="182"/>
      <c r="Q121" s="133"/>
    </row>
    <row r="122" spans="1:17" ht="26.25" customHeight="1" x14ac:dyDescent="0.2">
      <c r="A122" s="179" t="s">
        <v>105</v>
      </c>
      <c r="B122" s="180"/>
      <c r="C122" s="131" t="s">
        <v>108</v>
      </c>
      <c r="D122" s="181">
        <f>'2.3'!L26+'3гпх'!T27+дивид!R27</f>
        <v>35110</v>
      </c>
      <c r="E122" s="182"/>
      <c r="F122" s="182"/>
      <c r="G122" s="182"/>
      <c r="H122" s="182"/>
      <c r="I122" s="203"/>
      <c r="J122" s="179" t="s">
        <v>111</v>
      </c>
      <c r="K122" s="180"/>
      <c r="L122" s="131" t="s">
        <v>114</v>
      </c>
      <c r="M122" s="181">
        <f>'2.6'!L26+'3гпх'!Z27+дивид!X27</f>
        <v>35110</v>
      </c>
      <c r="N122" s="182"/>
      <c r="O122" s="182"/>
      <c r="P122" s="182"/>
      <c r="Q122" s="133"/>
    </row>
    <row r="123" spans="1:17" ht="26.25" customHeight="1" x14ac:dyDescent="0.2">
      <c r="A123" s="179"/>
      <c r="B123" s="180"/>
      <c r="C123" s="210" t="s">
        <v>115</v>
      </c>
      <c r="D123" s="211"/>
      <c r="E123" s="211"/>
      <c r="F123" s="211"/>
      <c r="G123" s="211"/>
      <c r="H123" s="211"/>
      <c r="I123" s="211"/>
      <c r="J123" s="211"/>
      <c r="K123" s="212"/>
      <c r="L123" s="131" t="s">
        <v>150</v>
      </c>
      <c r="M123" s="200">
        <f>D120+D121+D122+M120+M121+M122</f>
        <v>420550</v>
      </c>
      <c r="N123" s="201"/>
      <c r="O123" s="201"/>
      <c r="P123" s="209"/>
      <c r="Q123" s="91"/>
    </row>
    <row r="124" spans="1:17" ht="6" customHeight="1" x14ac:dyDescent="0.2">
      <c r="A124" s="216" t="s">
        <v>250</v>
      </c>
      <c r="B124" s="217"/>
      <c r="C124" s="217"/>
      <c r="D124" s="217"/>
      <c r="E124" s="217"/>
      <c r="F124" s="217"/>
      <c r="G124" s="217"/>
      <c r="H124" s="217"/>
      <c r="I124" s="217"/>
      <c r="J124" s="217"/>
      <c r="K124" s="217"/>
      <c r="L124" s="217"/>
      <c r="M124" s="217"/>
      <c r="N124" s="217"/>
      <c r="O124" s="217"/>
      <c r="P124" s="218"/>
    </row>
    <row r="125" spans="1:17" ht="12" customHeight="1" thickBot="1" x14ac:dyDescent="0.25">
      <c r="A125" s="219"/>
      <c r="B125" s="220"/>
      <c r="C125" s="220"/>
      <c r="D125" s="220"/>
      <c r="E125" s="220"/>
      <c r="F125" s="220"/>
      <c r="G125" s="220"/>
      <c r="H125" s="220"/>
      <c r="I125" s="220"/>
      <c r="J125" s="220"/>
      <c r="K125" s="220"/>
      <c r="L125" s="220"/>
      <c r="M125" s="220"/>
      <c r="N125" s="220"/>
      <c r="O125" s="220"/>
      <c r="P125" s="221"/>
    </row>
    <row r="126" spans="1:17" ht="26.25" customHeight="1" x14ac:dyDescent="0.2">
      <c r="A126" s="174" t="s">
        <v>55</v>
      </c>
      <c r="B126" s="175"/>
      <c r="C126" s="213" t="s">
        <v>116</v>
      </c>
      <c r="D126" s="214"/>
      <c r="E126" s="214"/>
      <c r="F126" s="214"/>
      <c r="G126" s="214"/>
      <c r="H126" s="214"/>
      <c r="I126" s="214"/>
      <c r="J126" s="214"/>
      <c r="K126" s="214"/>
      <c r="L126" s="214"/>
      <c r="M126" s="214"/>
      <c r="N126" s="214"/>
      <c r="O126" s="214"/>
      <c r="P126" s="215"/>
      <c r="Q126" s="133"/>
    </row>
    <row r="127" spans="1:17" ht="26.25" customHeight="1" x14ac:dyDescent="0.2">
      <c r="A127" s="179" t="s">
        <v>103</v>
      </c>
      <c r="B127" s="180"/>
      <c r="C127" s="131" t="s">
        <v>106</v>
      </c>
      <c r="D127" s="181">
        <f>'2.1'!S26</f>
        <v>387000</v>
      </c>
      <c r="E127" s="182"/>
      <c r="F127" s="182"/>
      <c r="G127" s="182"/>
      <c r="H127" s="182"/>
      <c r="I127" s="203"/>
      <c r="J127" s="179" t="s">
        <v>109</v>
      </c>
      <c r="K127" s="180"/>
      <c r="L127" s="131" t="s">
        <v>112</v>
      </c>
      <c r="M127" s="181">
        <f>'2.4'!S26</f>
        <v>360000</v>
      </c>
      <c r="N127" s="182"/>
      <c r="O127" s="182"/>
      <c r="P127" s="182"/>
      <c r="Q127" s="133"/>
    </row>
    <row r="128" spans="1:17" ht="26.25" customHeight="1" x14ac:dyDescent="0.2">
      <c r="A128" s="179" t="s">
        <v>104</v>
      </c>
      <c r="B128" s="180"/>
      <c r="C128" s="131" t="s">
        <v>107</v>
      </c>
      <c r="D128" s="181">
        <f>'2.2'!S26</f>
        <v>585000</v>
      </c>
      <c r="E128" s="182"/>
      <c r="F128" s="182"/>
      <c r="G128" s="182"/>
      <c r="H128" s="182"/>
      <c r="I128" s="203"/>
      <c r="J128" s="179" t="s">
        <v>110</v>
      </c>
      <c r="K128" s="180"/>
      <c r="L128" s="131" t="s">
        <v>113</v>
      </c>
      <c r="M128" s="181">
        <f>'2.5'!S26</f>
        <v>360000</v>
      </c>
      <c r="N128" s="182"/>
      <c r="O128" s="182"/>
      <c r="P128" s="182"/>
      <c r="Q128" s="91"/>
    </row>
    <row r="129" spans="1:17" ht="26.25" customHeight="1" x14ac:dyDescent="0.2">
      <c r="A129" s="179" t="s">
        <v>105</v>
      </c>
      <c r="B129" s="180"/>
      <c r="C129" s="131" t="s">
        <v>108</v>
      </c>
      <c r="D129" s="181">
        <f>'2.3'!S26</f>
        <v>585000</v>
      </c>
      <c r="E129" s="182"/>
      <c r="F129" s="182"/>
      <c r="G129" s="182"/>
      <c r="H129" s="182"/>
      <c r="I129" s="203"/>
      <c r="J129" s="179" t="s">
        <v>111</v>
      </c>
      <c r="K129" s="180"/>
      <c r="L129" s="131" t="s">
        <v>114</v>
      </c>
      <c r="M129" s="181">
        <f>'2.6'!S26</f>
        <v>360000</v>
      </c>
      <c r="N129" s="182"/>
      <c r="O129" s="182"/>
      <c r="P129" s="182"/>
      <c r="Q129" s="133"/>
    </row>
    <row r="130" spans="1:17" ht="26.25" customHeight="1" x14ac:dyDescent="0.2">
      <c r="A130" s="179"/>
      <c r="B130" s="180"/>
      <c r="C130" s="210" t="s">
        <v>115</v>
      </c>
      <c r="D130" s="211"/>
      <c r="E130" s="211"/>
      <c r="F130" s="211"/>
      <c r="G130" s="211"/>
      <c r="H130" s="211"/>
      <c r="I130" s="211"/>
      <c r="J130" s="211"/>
      <c r="K130" s="212"/>
      <c r="L130" s="131" t="s">
        <v>150</v>
      </c>
      <c r="M130" s="200">
        <f>D127+D128+D129+M127+M128+M129</f>
        <v>2637000</v>
      </c>
      <c r="N130" s="201"/>
      <c r="O130" s="201"/>
      <c r="P130" s="209"/>
      <c r="Q130" s="133"/>
    </row>
    <row r="131" spans="1:17" ht="26.25" customHeight="1" x14ac:dyDescent="0.2">
      <c r="A131" s="174" t="s">
        <v>56</v>
      </c>
      <c r="B131" s="175"/>
      <c r="C131" s="213" t="s">
        <v>151</v>
      </c>
      <c r="D131" s="214"/>
      <c r="E131" s="214"/>
      <c r="F131" s="214"/>
      <c r="G131" s="214"/>
      <c r="H131" s="214"/>
      <c r="I131" s="214"/>
      <c r="J131" s="214"/>
      <c r="K131" s="214"/>
      <c r="L131" s="214"/>
      <c r="M131" s="214"/>
      <c r="N131" s="214"/>
      <c r="O131" s="214"/>
      <c r="P131" s="215"/>
      <c r="Q131" s="133"/>
    </row>
    <row r="132" spans="1:17" ht="26.25" customHeight="1" x14ac:dyDescent="0.2">
      <c r="A132" s="179" t="s">
        <v>103</v>
      </c>
      <c r="B132" s="180"/>
      <c r="C132" s="131" t="s">
        <v>106</v>
      </c>
      <c r="D132" s="181">
        <f>'2.1'!T26</f>
        <v>13545</v>
      </c>
      <c r="E132" s="182"/>
      <c r="F132" s="182"/>
      <c r="G132" s="182"/>
      <c r="H132" s="182"/>
      <c r="I132" s="203"/>
      <c r="J132" s="179" t="s">
        <v>109</v>
      </c>
      <c r="K132" s="180"/>
      <c r="L132" s="131" t="s">
        <v>112</v>
      </c>
      <c r="M132" s="181">
        <f>'2.4'!T26</f>
        <v>12600</v>
      </c>
      <c r="N132" s="182"/>
      <c r="O132" s="182"/>
      <c r="P132" s="182"/>
      <c r="Q132" s="133"/>
    </row>
    <row r="133" spans="1:17" ht="26.25" customHeight="1" x14ac:dyDescent="0.2">
      <c r="A133" s="179" t="s">
        <v>104</v>
      </c>
      <c r="B133" s="180"/>
      <c r="C133" s="131" t="s">
        <v>107</v>
      </c>
      <c r="D133" s="181">
        <f>'2.2'!T26</f>
        <v>20475</v>
      </c>
      <c r="E133" s="182"/>
      <c r="F133" s="182"/>
      <c r="G133" s="182"/>
      <c r="H133" s="182"/>
      <c r="I133" s="203"/>
      <c r="J133" s="179" t="s">
        <v>110</v>
      </c>
      <c r="K133" s="180"/>
      <c r="L133" s="131" t="s">
        <v>113</v>
      </c>
      <c r="M133" s="181">
        <f>'2.5'!T26</f>
        <v>12600</v>
      </c>
      <c r="N133" s="182"/>
      <c r="O133" s="182"/>
      <c r="P133" s="182"/>
      <c r="Q133" s="133"/>
    </row>
    <row r="134" spans="1:17" ht="25.5" customHeight="1" x14ac:dyDescent="0.2">
      <c r="A134" s="179" t="s">
        <v>105</v>
      </c>
      <c r="B134" s="180"/>
      <c r="C134" s="131" t="s">
        <v>108</v>
      </c>
      <c r="D134" s="181">
        <f>'2.3'!T26</f>
        <v>20475</v>
      </c>
      <c r="E134" s="182"/>
      <c r="F134" s="182"/>
      <c r="G134" s="182"/>
      <c r="H134" s="182"/>
      <c r="I134" s="203"/>
      <c r="J134" s="179" t="s">
        <v>111</v>
      </c>
      <c r="K134" s="180"/>
      <c r="L134" s="131" t="s">
        <v>114</v>
      </c>
      <c r="M134" s="181">
        <f>'2.6'!T26</f>
        <v>12600</v>
      </c>
      <c r="N134" s="182"/>
      <c r="O134" s="182"/>
      <c r="P134" s="182"/>
      <c r="Q134" s="133"/>
    </row>
    <row r="135" spans="1:17" ht="26.25" customHeight="1" thickBot="1" x14ac:dyDescent="0.25">
      <c r="A135" s="179"/>
      <c r="B135" s="180"/>
      <c r="C135" s="314" t="s">
        <v>115</v>
      </c>
      <c r="D135" s="315"/>
      <c r="E135" s="315"/>
      <c r="F135" s="315"/>
      <c r="G135" s="315"/>
      <c r="H135" s="315"/>
      <c r="I135" s="315"/>
      <c r="J135" s="315"/>
      <c r="K135" s="316"/>
      <c r="L135" s="131" t="s">
        <v>150</v>
      </c>
      <c r="M135" s="200">
        <f>D132+D133+D134+M132+M133+M134</f>
        <v>92295</v>
      </c>
      <c r="N135" s="201"/>
      <c r="O135" s="201"/>
      <c r="P135" s="202"/>
      <c r="Q135" s="133"/>
    </row>
    <row r="136" spans="1:17" ht="26.25" customHeight="1" x14ac:dyDescent="0.2">
      <c r="A136" s="207" t="s">
        <v>117</v>
      </c>
      <c r="B136" s="208"/>
      <c r="C136" s="171" t="s">
        <v>251</v>
      </c>
      <c r="D136" s="172"/>
      <c r="E136" s="172"/>
      <c r="F136" s="172"/>
      <c r="G136" s="172"/>
      <c r="H136" s="172"/>
      <c r="I136" s="172"/>
      <c r="J136" s="172"/>
      <c r="K136" s="172"/>
      <c r="L136" s="172"/>
      <c r="M136" s="172" t="e">
        <f>#REF!</f>
        <v>#REF!</v>
      </c>
      <c r="N136" s="172"/>
      <c r="O136" s="172"/>
      <c r="P136" s="173"/>
      <c r="Q136" s="133"/>
    </row>
    <row r="137" spans="1:17" ht="26.25" customHeight="1" x14ac:dyDescent="0.2">
      <c r="A137" s="179" t="s">
        <v>103</v>
      </c>
      <c r="B137" s="180"/>
      <c r="C137" s="131" t="s">
        <v>106</v>
      </c>
      <c r="D137" s="181">
        <f>'2.1'!N26+'4гпх'!K15*10</f>
        <v>430000</v>
      </c>
      <c r="E137" s="182"/>
      <c r="F137" s="182"/>
      <c r="G137" s="182"/>
      <c r="H137" s="182"/>
      <c r="I137" s="203"/>
      <c r="J137" s="179" t="s">
        <v>109</v>
      </c>
      <c r="K137" s="180"/>
      <c r="L137" s="131" t="s">
        <v>112</v>
      </c>
      <c r="M137" s="181">
        <f>'2.4'!N26+'4гпх'!Q15*10</f>
        <v>560000</v>
      </c>
      <c r="N137" s="182"/>
      <c r="O137" s="182"/>
      <c r="P137" s="182"/>
      <c r="Q137" s="133"/>
    </row>
    <row r="138" spans="1:17" ht="26.25" customHeight="1" x14ac:dyDescent="0.2">
      <c r="A138" s="179" t="s">
        <v>104</v>
      </c>
      <c r="B138" s="180"/>
      <c r="C138" s="131" t="s">
        <v>107</v>
      </c>
      <c r="D138" s="181">
        <f>'2.2'!N26+'4гпх'!M15*10</f>
        <v>650000</v>
      </c>
      <c r="E138" s="182"/>
      <c r="F138" s="182"/>
      <c r="G138" s="182"/>
      <c r="H138" s="182"/>
      <c r="I138" s="203"/>
      <c r="J138" s="179" t="s">
        <v>110</v>
      </c>
      <c r="K138" s="180"/>
      <c r="L138" s="131" t="s">
        <v>113</v>
      </c>
      <c r="M138" s="181">
        <f>'2.5'!N26+'4гпх'!S15*10</f>
        <v>400000</v>
      </c>
      <c r="N138" s="182"/>
      <c r="O138" s="182"/>
      <c r="P138" s="182"/>
      <c r="Q138" s="133"/>
    </row>
    <row r="139" spans="1:17" ht="25.5" customHeight="1" x14ac:dyDescent="0.2">
      <c r="A139" s="179" t="s">
        <v>105</v>
      </c>
      <c r="B139" s="180"/>
      <c r="C139" s="131" t="s">
        <v>108</v>
      </c>
      <c r="D139" s="181">
        <f>'2.3'!N26+'4гпх'!O15*10</f>
        <v>650000</v>
      </c>
      <c r="E139" s="182"/>
      <c r="F139" s="182"/>
      <c r="G139" s="182"/>
      <c r="H139" s="182"/>
      <c r="I139" s="203"/>
      <c r="J139" s="179" t="s">
        <v>111</v>
      </c>
      <c r="K139" s="180"/>
      <c r="L139" s="131" t="s">
        <v>114</v>
      </c>
      <c r="M139" s="181">
        <f>'2.6'!N26+'4гпх'!U15*10</f>
        <v>400000</v>
      </c>
      <c r="N139" s="182"/>
      <c r="O139" s="182"/>
      <c r="P139" s="182"/>
      <c r="Q139" s="133"/>
    </row>
    <row r="140" spans="1:17" ht="26.25" customHeight="1" thickBot="1" x14ac:dyDescent="0.25">
      <c r="A140" s="179"/>
      <c r="B140" s="180"/>
      <c r="C140" s="314" t="s">
        <v>115</v>
      </c>
      <c r="D140" s="315"/>
      <c r="E140" s="315"/>
      <c r="F140" s="315"/>
      <c r="G140" s="315"/>
      <c r="H140" s="315"/>
      <c r="I140" s="315"/>
      <c r="J140" s="315"/>
      <c r="K140" s="316"/>
      <c r="L140" s="131" t="s">
        <v>150</v>
      </c>
      <c r="M140" s="200">
        <f>D137+D138+D139+M137+M138+M139</f>
        <v>3090000</v>
      </c>
      <c r="N140" s="201"/>
      <c r="O140" s="201"/>
      <c r="P140" s="202"/>
      <c r="Q140" s="133"/>
    </row>
    <row r="141" spans="1:17" ht="26.25" customHeight="1" x14ac:dyDescent="0.2">
      <c r="A141" s="207" t="s">
        <v>120</v>
      </c>
      <c r="B141" s="208"/>
      <c r="C141" s="171" t="s">
        <v>153</v>
      </c>
      <c r="D141" s="172"/>
      <c r="E141" s="172"/>
      <c r="F141" s="172"/>
      <c r="G141" s="172"/>
      <c r="H141" s="172"/>
      <c r="I141" s="172"/>
      <c r="J141" s="172"/>
      <c r="K141" s="172"/>
      <c r="L141" s="172"/>
      <c r="M141" s="172" t="e">
        <f>#REF!</f>
        <v>#REF!</v>
      </c>
      <c r="N141" s="172"/>
      <c r="O141" s="172"/>
      <c r="P141" s="173"/>
      <c r="Q141" s="133"/>
    </row>
    <row r="142" spans="1:17" ht="26.25" customHeight="1" x14ac:dyDescent="0.2">
      <c r="A142" s="179" t="s">
        <v>103</v>
      </c>
      <c r="B142" s="180"/>
      <c r="C142" s="131" t="s">
        <v>106</v>
      </c>
      <c r="D142" s="181">
        <f>'2.1'!P26+'4гпх'!K15</f>
        <v>43000</v>
      </c>
      <c r="E142" s="182"/>
      <c r="F142" s="182"/>
      <c r="G142" s="182"/>
      <c r="H142" s="182"/>
      <c r="I142" s="203"/>
      <c r="J142" s="179" t="s">
        <v>109</v>
      </c>
      <c r="K142" s="180"/>
      <c r="L142" s="131" t="s">
        <v>112</v>
      </c>
      <c r="M142" s="181">
        <f>'2.4'!P26+'4гпх'!Q15</f>
        <v>56000</v>
      </c>
      <c r="N142" s="182"/>
      <c r="O142" s="182"/>
      <c r="P142" s="182"/>
      <c r="Q142" s="133"/>
    </row>
    <row r="143" spans="1:17" ht="26.25" customHeight="1" x14ac:dyDescent="0.2">
      <c r="A143" s="179" t="s">
        <v>104</v>
      </c>
      <c r="B143" s="180"/>
      <c r="C143" s="131" t="s">
        <v>107</v>
      </c>
      <c r="D143" s="181">
        <f>'2.2'!P26+'4гпх'!M15</f>
        <v>65000</v>
      </c>
      <c r="E143" s="182"/>
      <c r="F143" s="182"/>
      <c r="G143" s="182"/>
      <c r="H143" s="182"/>
      <c r="I143" s="203"/>
      <c r="J143" s="179" t="s">
        <v>110</v>
      </c>
      <c r="K143" s="180"/>
      <c r="L143" s="131" t="s">
        <v>113</v>
      </c>
      <c r="M143" s="181">
        <f>'2.5'!P26+'4гпх'!S15</f>
        <v>40000</v>
      </c>
      <c r="N143" s="182"/>
      <c r="O143" s="182"/>
      <c r="P143" s="182"/>
      <c r="Q143" s="133"/>
    </row>
    <row r="144" spans="1:17" ht="25.5" customHeight="1" x14ac:dyDescent="0.2">
      <c r="A144" s="179" t="s">
        <v>105</v>
      </c>
      <c r="B144" s="180"/>
      <c r="C144" s="131" t="s">
        <v>108</v>
      </c>
      <c r="D144" s="181">
        <f>'2.3'!P26+'4гпх'!O15</f>
        <v>65000</v>
      </c>
      <c r="E144" s="182"/>
      <c r="F144" s="182"/>
      <c r="G144" s="182"/>
      <c r="H144" s="182"/>
      <c r="I144" s="203"/>
      <c r="J144" s="179" t="s">
        <v>111</v>
      </c>
      <c r="K144" s="180"/>
      <c r="L144" s="131" t="s">
        <v>114</v>
      </c>
      <c r="M144" s="181">
        <f>'2.6'!P26+'4гпх'!U15</f>
        <v>40000</v>
      </c>
      <c r="N144" s="182"/>
      <c r="O144" s="182"/>
      <c r="P144" s="182"/>
      <c r="Q144" s="91"/>
    </row>
    <row r="145" spans="1:17" ht="26.25" customHeight="1" thickBot="1" x14ac:dyDescent="0.25">
      <c r="A145" s="198"/>
      <c r="B145" s="199"/>
      <c r="C145" s="314" t="s">
        <v>115</v>
      </c>
      <c r="D145" s="315"/>
      <c r="E145" s="315"/>
      <c r="F145" s="315"/>
      <c r="G145" s="315"/>
      <c r="H145" s="315"/>
      <c r="I145" s="315"/>
      <c r="J145" s="315"/>
      <c r="K145" s="316"/>
      <c r="L145" s="131" t="s">
        <v>150</v>
      </c>
      <c r="M145" s="200">
        <f>D142+D143+D144+M142+M143+M144</f>
        <v>309000</v>
      </c>
      <c r="N145" s="201"/>
      <c r="O145" s="201"/>
      <c r="P145" s="202"/>
      <c r="Q145" s="280"/>
    </row>
    <row r="146" spans="1:17" ht="26.25" customHeight="1" x14ac:dyDescent="0.2">
      <c r="A146" s="248" t="s">
        <v>139</v>
      </c>
      <c r="B146" s="249"/>
      <c r="C146" s="171" t="s">
        <v>137</v>
      </c>
      <c r="D146" s="172"/>
      <c r="E146" s="172"/>
      <c r="F146" s="172"/>
      <c r="G146" s="172"/>
      <c r="H146" s="172"/>
      <c r="I146" s="172"/>
      <c r="J146" s="172"/>
      <c r="K146" s="172"/>
      <c r="L146" s="172"/>
      <c r="M146" s="172"/>
      <c r="N146" s="172"/>
      <c r="O146" s="172"/>
      <c r="P146" s="173"/>
      <c r="Q146" s="280"/>
    </row>
    <row r="147" spans="1:17" ht="26.25" customHeight="1" x14ac:dyDescent="0.2">
      <c r="A147" s="179" t="s">
        <v>103</v>
      </c>
      <c r="B147" s="180"/>
      <c r="C147" s="131" t="s">
        <v>106</v>
      </c>
      <c r="D147" s="181">
        <f>'2.1'!U26</f>
        <v>0</v>
      </c>
      <c r="E147" s="182"/>
      <c r="F147" s="182"/>
      <c r="G147" s="182"/>
      <c r="H147" s="182"/>
      <c r="I147" s="203"/>
      <c r="J147" s="179" t="s">
        <v>109</v>
      </c>
      <c r="K147" s="180"/>
      <c r="L147" s="131" t="s">
        <v>112</v>
      </c>
      <c r="M147" s="181">
        <f>'2.4'!U26</f>
        <v>0</v>
      </c>
      <c r="N147" s="182"/>
      <c r="O147" s="182"/>
      <c r="P147" s="204"/>
      <c r="Q147" s="280"/>
    </row>
    <row r="148" spans="1:17" ht="26.25" customHeight="1" x14ac:dyDescent="0.2">
      <c r="A148" s="179" t="s">
        <v>104</v>
      </c>
      <c r="B148" s="180"/>
      <c r="C148" s="131" t="s">
        <v>107</v>
      </c>
      <c r="D148" s="181">
        <f>'2.2'!U26</f>
        <v>0</v>
      </c>
      <c r="E148" s="182"/>
      <c r="F148" s="182"/>
      <c r="G148" s="182"/>
      <c r="H148" s="182"/>
      <c r="I148" s="203"/>
      <c r="J148" s="179" t="s">
        <v>110</v>
      </c>
      <c r="K148" s="180"/>
      <c r="L148" s="131" t="s">
        <v>113</v>
      </c>
      <c r="M148" s="181">
        <f>'2.5'!U26</f>
        <v>0</v>
      </c>
      <c r="N148" s="182"/>
      <c r="O148" s="182"/>
      <c r="P148" s="204"/>
      <c r="Q148" s="91"/>
    </row>
    <row r="149" spans="1:17" ht="25.5" customHeight="1" x14ac:dyDescent="0.2">
      <c r="A149" s="179" t="s">
        <v>105</v>
      </c>
      <c r="B149" s="180"/>
      <c r="C149" s="131" t="s">
        <v>108</v>
      </c>
      <c r="D149" s="181">
        <f>'2.3'!U26</f>
        <v>0</v>
      </c>
      <c r="E149" s="182"/>
      <c r="F149" s="182"/>
      <c r="G149" s="182"/>
      <c r="H149" s="182"/>
      <c r="I149" s="203"/>
      <c r="J149" s="179" t="s">
        <v>111</v>
      </c>
      <c r="K149" s="180"/>
      <c r="L149" s="131" t="s">
        <v>114</v>
      </c>
      <c r="M149" s="181">
        <f>'2.6'!U26</f>
        <v>0</v>
      </c>
      <c r="N149" s="182"/>
      <c r="O149" s="182"/>
      <c r="P149" s="204"/>
      <c r="Q149" s="91"/>
    </row>
    <row r="150" spans="1:17" ht="26.25" customHeight="1" thickBot="1" x14ac:dyDescent="0.25">
      <c r="A150" s="198"/>
      <c r="B150" s="199"/>
      <c r="C150" s="314" t="s">
        <v>115</v>
      </c>
      <c r="D150" s="315"/>
      <c r="E150" s="315"/>
      <c r="F150" s="315"/>
      <c r="G150" s="315"/>
      <c r="H150" s="315"/>
      <c r="I150" s="315"/>
      <c r="J150" s="315"/>
      <c r="K150" s="316"/>
      <c r="L150" s="131" t="s">
        <v>150</v>
      </c>
      <c r="M150" s="200">
        <f>D147+D148+D149+M147+M148+M149</f>
        <v>0</v>
      </c>
      <c r="N150" s="201"/>
      <c r="O150" s="201"/>
      <c r="P150" s="202"/>
      <c r="Q150" s="93"/>
    </row>
    <row r="151" spans="1:17" ht="26.25" customHeight="1" x14ac:dyDescent="0.2">
      <c r="A151" s="248" t="s">
        <v>155</v>
      </c>
      <c r="B151" s="249"/>
      <c r="C151" s="171" t="s">
        <v>138</v>
      </c>
      <c r="D151" s="172"/>
      <c r="E151" s="172"/>
      <c r="F151" s="172"/>
      <c r="G151" s="172"/>
      <c r="H151" s="172"/>
      <c r="I151" s="172"/>
      <c r="J151" s="172"/>
      <c r="K151" s="172"/>
      <c r="L151" s="172"/>
      <c r="M151" s="172" t="e">
        <f>#REF!</f>
        <v>#REF!</v>
      </c>
      <c r="N151" s="172"/>
      <c r="O151" s="172"/>
      <c r="P151" s="173"/>
      <c r="Q151" s="93"/>
    </row>
    <row r="152" spans="1:17" ht="26.25" customHeight="1" x14ac:dyDescent="0.2">
      <c r="A152" s="179" t="s">
        <v>103</v>
      </c>
      <c r="B152" s="180"/>
      <c r="C152" s="131" t="s">
        <v>106</v>
      </c>
      <c r="D152" s="181">
        <f>'2.1'!V26</f>
        <v>0</v>
      </c>
      <c r="E152" s="182"/>
      <c r="F152" s="182"/>
      <c r="G152" s="182"/>
      <c r="H152" s="182"/>
      <c r="I152" s="203"/>
      <c r="J152" s="179" t="s">
        <v>109</v>
      </c>
      <c r="K152" s="180"/>
      <c r="L152" s="131" t="s">
        <v>112</v>
      </c>
      <c r="M152" s="181">
        <f>'2.4'!V26</f>
        <v>0</v>
      </c>
      <c r="N152" s="182"/>
      <c r="O152" s="182"/>
      <c r="P152" s="204"/>
      <c r="Q152" s="93"/>
    </row>
    <row r="153" spans="1:17" ht="26.25" customHeight="1" x14ac:dyDescent="0.2">
      <c r="A153" s="179" t="s">
        <v>104</v>
      </c>
      <c r="B153" s="180"/>
      <c r="C153" s="131" t="s">
        <v>107</v>
      </c>
      <c r="D153" s="181">
        <f>'2.2'!V26</f>
        <v>0</v>
      </c>
      <c r="E153" s="182"/>
      <c r="F153" s="182"/>
      <c r="G153" s="182"/>
      <c r="H153" s="182"/>
      <c r="I153" s="203"/>
      <c r="J153" s="179" t="s">
        <v>110</v>
      </c>
      <c r="K153" s="180"/>
      <c r="L153" s="131" t="s">
        <v>113</v>
      </c>
      <c r="M153" s="181">
        <f>'2.5'!V26</f>
        <v>0</v>
      </c>
      <c r="N153" s="182"/>
      <c r="O153" s="182"/>
      <c r="P153" s="204"/>
      <c r="Q153" s="91"/>
    </row>
    <row r="154" spans="1:17" ht="25.5" customHeight="1" x14ac:dyDescent="0.2">
      <c r="A154" s="179" t="s">
        <v>105</v>
      </c>
      <c r="B154" s="180"/>
      <c r="C154" s="131" t="s">
        <v>108</v>
      </c>
      <c r="D154" s="181">
        <f>'2.3'!V26</f>
        <v>0</v>
      </c>
      <c r="E154" s="182"/>
      <c r="F154" s="182"/>
      <c r="G154" s="182"/>
      <c r="H154" s="182"/>
      <c r="I154" s="203"/>
      <c r="J154" s="179" t="s">
        <v>111</v>
      </c>
      <c r="K154" s="180"/>
      <c r="L154" s="131" t="s">
        <v>114</v>
      </c>
      <c r="M154" s="181">
        <f>'2.6'!V26</f>
        <v>0</v>
      </c>
      <c r="N154" s="182"/>
      <c r="O154" s="182"/>
      <c r="P154" s="204"/>
      <c r="Q154" s="133"/>
    </row>
    <row r="155" spans="1:17" ht="26.25" customHeight="1" thickBot="1" x14ac:dyDescent="0.25">
      <c r="A155" s="198"/>
      <c r="B155" s="199"/>
      <c r="C155" s="314" t="s">
        <v>115</v>
      </c>
      <c r="D155" s="315"/>
      <c r="E155" s="315"/>
      <c r="F155" s="315"/>
      <c r="G155" s="315"/>
      <c r="H155" s="315"/>
      <c r="I155" s="315"/>
      <c r="J155" s="315"/>
      <c r="K155" s="316"/>
      <c r="L155" s="131" t="s">
        <v>150</v>
      </c>
      <c r="M155" s="200">
        <f>D152+D153+D154+M152+M153+M154</f>
        <v>0</v>
      </c>
      <c r="N155" s="201"/>
      <c r="O155" s="201"/>
      <c r="P155" s="202"/>
      <c r="Q155" s="133"/>
    </row>
    <row r="156" spans="1:17" ht="26.25" customHeight="1" x14ac:dyDescent="0.2">
      <c r="A156" s="207" t="s">
        <v>181</v>
      </c>
      <c r="B156" s="208"/>
      <c r="C156" s="171" t="s">
        <v>192</v>
      </c>
      <c r="D156" s="172"/>
      <c r="E156" s="172"/>
      <c r="F156" s="172"/>
      <c r="G156" s="172"/>
      <c r="H156" s="172"/>
      <c r="I156" s="172"/>
      <c r="J156" s="172"/>
      <c r="K156" s="172"/>
      <c r="L156" s="172"/>
      <c r="M156" s="172" t="e">
        <f>#REF!</f>
        <v>#REF!</v>
      </c>
      <c r="N156" s="172"/>
      <c r="O156" s="172"/>
      <c r="P156" s="173"/>
      <c r="Q156" s="133"/>
    </row>
    <row r="157" spans="1:17" ht="26.25" customHeight="1" x14ac:dyDescent="0.2">
      <c r="A157" s="179" t="s">
        <v>103</v>
      </c>
      <c r="B157" s="180"/>
      <c r="C157" s="131" t="s">
        <v>106</v>
      </c>
      <c r="D157" s="181">
        <f>'2.1'!AA26+'4гпх'!L15/введ!C22</f>
        <v>430000</v>
      </c>
      <c r="E157" s="182"/>
      <c r="F157" s="182"/>
      <c r="G157" s="182"/>
      <c r="H157" s="182"/>
      <c r="I157" s="203"/>
      <c r="J157" s="179" t="s">
        <v>109</v>
      </c>
      <c r="K157" s="180"/>
      <c r="L157" s="131" t="s">
        <v>112</v>
      </c>
      <c r="M157" s="181">
        <f>'2.4'!AA26+'4гпх'!R15/введ!C22</f>
        <v>560000</v>
      </c>
      <c r="N157" s="182"/>
      <c r="O157" s="182"/>
      <c r="P157" s="182"/>
      <c r="Q157" s="133"/>
    </row>
    <row r="158" spans="1:17" ht="26.25" customHeight="1" x14ac:dyDescent="0.2">
      <c r="A158" s="179" t="s">
        <v>104</v>
      </c>
      <c r="B158" s="180"/>
      <c r="C158" s="131" t="s">
        <v>107</v>
      </c>
      <c r="D158" s="181">
        <f>'2.2'!AA26+'4гпх'!N15/введ!C22</f>
        <v>650000</v>
      </c>
      <c r="E158" s="182"/>
      <c r="F158" s="182"/>
      <c r="G158" s="182"/>
      <c r="H158" s="182"/>
      <c r="I158" s="204"/>
      <c r="J158" s="179" t="s">
        <v>110</v>
      </c>
      <c r="K158" s="180"/>
      <c r="L158" s="131" t="s">
        <v>113</v>
      </c>
      <c r="M158" s="181">
        <f>'2.5'!AA26+'4гпх'!T15/введ!C22</f>
        <v>400000</v>
      </c>
      <c r="N158" s="182"/>
      <c r="O158" s="182"/>
      <c r="P158" s="182"/>
      <c r="Q158" s="133"/>
    </row>
    <row r="159" spans="1:17" x14ac:dyDescent="0.2">
      <c r="A159" s="179" t="s">
        <v>105</v>
      </c>
      <c r="B159" s="180"/>
      <c r="C159" s="131" t="s">
        <v>108</v>
      </c>
      <c r="D159" s="181">
        <f>'2.3'!AA26+'4гпх'!P15/введ!C22</f>
        <v>650000</v>
      </c>
      <c r="E159" s="182"/>
      <c r="F159" s="182"/>
      <c r="G159" s="182"/>
      <c r="H159" s="182"/>
      <c r="I159" s="203"/>
      <c r="J159" s="179" t="s">
        <v>111</v>
      </c>
      <c r="K159" s="180"/>
      <c r="L159" s="131" t="s">
        <v>114</v>
      </c>
      <c r="M159" s="181">
        <f>'2.6'!AA26+'4гпх'!V15/введ!C22</f>
        <v>400000</v>
      </c>
      <c r="N159" s="182"/>
      <c r="O159" s="182"/>
      <c r="P159" s="182"/>
    </row>
    <row r="160" spans="1:17" ht="26.25" customHeight="1" thickBot="1" x14ac:dyDescent="0.25">
      <c r="A160" s="198"/>
      <c r="B160" s="199"/>
      <c r="C160" s="314" t="s">
        <v>115</v>
      </c>
      <c r="D160" s="315"/>
      <c r="E160" s="315"/>
      <c r="F160" s="315"/>
      <c r="G160" s="315"/>
      <c r="H160" s="315"/>
      <c r="I160" s="315"/>
      <c r="J160" s="315"/>
      <c r="K160" s="316"/>
      <c r="L160" s="131" t="s">
        <v>150</v>
      </c>
      <c r="M160" s="200">
        <f>D157+D158+D159+M157+M158+M159</f>
        <v>3090000</v>
      </c>
      <c r="N160" s="201"/>
      <c r="O160" s="201"/>
      <c r="P160" s="202"/>
      <c r="Q160" s="133"/>
    </row>
    <row r="161" spans="1:23" ht="26.25" customHeight="1" thickBot="1" x14ac:dyDescent="0.25">
      <c r="A161" s="248" t="s">
        <v>184</v>
      </c>
      <c r="B161" s="249"/>
      <c r="C161" s="195" t="s">
        <v>193</v>
      </c>
      <c r="D161" s="196"/>
      <c r="E161" s="196"/>
      <c r="F161" s="196"/>
      <c r="G161" s="196"/>
      <c r="H161" s="196"/>
      <c r="I161" s="196"/>
      <c r="J161" s="196"/>
      <c r="K161" s="196"/>
      <c r="L161" s="196"/>
      <c r="M161" s="196"/>
      <c r="N161" s="196"/>
      <c r="O161" s="196"/>
      <c r="P161" s="197"/>
      <c r="Q161" s="133"/>
    </row>
    <row r="162" spans="1:23" ht="26.25" customHeight="1" x14ac:dyDescent="0.2">
      <c r="A162" s="179" t="s">
        <v>103</v>
      </c>
      <c r="B162" s="180"/>
      <c r="C162" s="131" t="s">
        <v>106</v>
      </c>
      <c r="D162" s="181">
        <f>'2.1'!AB26+'2.1'!AC26+'4гпх'!L15</f>
        <v>17200</v>
      </c>
      <c r="E162" s="182"/>
      <c r="F162" s="182"/>
      <c r="G162" s="182"/>
      <c r="H162" s="182"/>
      <c r="I162" s="203"/>
      <c r="J162" s="179" t="s">
        <v>109</v>
      </c>
      <c r="K162" s="180"/>
      <c r="L162" s="131" t="s">
        <v>112</v>
      </c>
      <c r="M162" s="181">
        <f>'2.4'!AB26+'2.4'!AC26+'4гпх'!R15</f>
        <v>19200</v>
      </c>
      <c r="N162" s="182"/>
      <c r="O162" s="182"/>
      <c r="P162" s="182"/>
      <c r="Q162" s="133"/>
    </row>
    <row r="163" spans="1:23" ht="26.25" customHeight="1" x14ac:dyDescent="0.2">
      <c r="A163" s="179" t="s">
        <v>104</v>
      </c>
      <c r="B163" s="180"/>
      <c r="C163" s="131" t="s">
        <v>107</v>
      </c>
      <c r="D163" s="181">
        <f>'2.2'!AB26+'2.2'!AC26+'4гпх'!N15</f>
        <v>26000</v>
      </c>
      <c r="E163" s="182"/>
      <c r="F163" s="182"/>
      <c r="G163" s="182"/>
      <c r="H163" s="182"/>
      <c r="I163" s="203"/>
      <c r="J163" s="179" t="s">
        <v>110</v>
      </c>
      <c r="K163" s="180"/>
      <c r="L163" s="131" t="s">
        <v>113</v>
      </c>
      <c r="M163" s="181">
        <f>'2.5'!AB26+'2.5'!AC26+'4гпх'!T15</f>
        <v>16000</v>
      </c>
      <c r="N163" s="182"/>
      <c r="O163" s="182"/>
      <c r="P163" s="182"/>
      <c r="Q163" s="133"/>
    </row>
    <row r="164" spans="1:23" ht="15" customHeight="1" x14ac:dyDescent="0.2">
      <c r="A164" s="179" t="s">
        <v>105</v>
      </c>
      <c r="B164" s="180"/>
      <c r="C164" s="131" t="s">
        <v>108</v>
      </c>
      <c r="D164" s="181">
        <f>'2.3'!AB26+'2.3'!AC26+'4гпх'!P15</f>
        <v>26000</v>
      </c>
      <c r="E164" s="182"/>
      <c r="F164" s="182"/>
      <c r="G164" s="182"/>
      <c r="H164" s="182"/>
      <c r="I164" s="203"/>
      <c r="J164" s="179" t="s">
        <v>111</v>
      </c>
      <c r="K164" s="180"/>
      <c r="L164" s="131" t="s">
        <v>114</v>
      </c>
      <c r="M164" s="181">
        <f>'2.6'!AB26+'2.6'!AC26+'4гпх'!V15</f>
        <v>16000</v>
      </c>
      <c r="N164" s="182"/>
      <c r="O164" s="182"/>
      <c r="P164" s="182"/>
    </row>
    <row r="165" spans="1:23" ht="13.5" thickBot="1" x14ac:dyDescent="0.25">
      <c r="A165" s="198"/>
      <c r="B165" s="199"/>
      <c r="C165" s="314" t="s">
        <v>115</v>
      </c>
      <c r="D165" s="315"/>
      <c r="E165" s="315"/>
      <c r="F165" s="315"/>
      <c r="G165" s="315"/>
      <c r="H165" s="315"/>
      <c r="I165" s="315"/>
      <c r="J165" s="315"/>
      <c r="K165" s="316"/>
      <c r="L165" s="131" t="s">
        <v>150</v>
      </c>
      <c r="M165" s="200">
        <f>D162+D163+D164+M162+M163+M164</f>
        <v>120400</v>
      </c>
      <c r="N165" s="201"/>
      <c r="O165" s="201"/>
      <c r="P165" s="202"/>
    </row>
    <row r="166" spans="1:23" x14ac:dyDescent="0.2">
      <c r="A166" s="216" t="s">
        <v>182</v>
      </c>
      <c r="B166" s="217"/>
      <c r="C166" s="217"/>
      <c r="D166" s="217"/>
      <c r="E166" s="217"/>
      <c r="F166" s="217"/>
      <c r="G166" s="217"/>
      <c r="H166" s="217"/>
      <c r="I166" s="217"/>
      <c r="J166" s="217"/>
      <c r="K166" s="217"/>
      <c r="L166" s="217"/>
      <c r="M166" s="217"/>
      <c r="N166" s="217"/>
      <c r="O166" s="217"/>
      <c r="P166" s="218"/>
    </row>
    <row r="167" spans="1:23" ht="16.5" customHeight="1" thickBot="1" x14ac:dyDescent="0.25">
      <c r="A167" s="219"/>
      <c r="B167" s="220"/>
      <c r="C167" s="220"/>
      <c r="D167" s="220"/>
      <c r="E167" s="220"/>
      <c r="F167" s="220"/>
      <c r="G167" s="220"/>
      <c r="H167" s="220"/>
      <c r="I167" s="220"/>
      <c r="J167" s="220"/>
      <c r="K167" s="220"/>
      <c r="L167" s="220"/>
      <c r="M167" s="220"/>
      <c r="N167" s="220"/>
      <c r="O167" s="220"/>
      <c r="P167" s="221"/>
    </row>
    <row r="168" spans="1:23" x14ac:dyDescent="0.2">
      <c r="A168" s="248" t="s">
        <v>183</v>
      </c>
      <c r="B168" s="249"/>
      <c r="C168" s="293" t="s">
        <v>189</v>
      </c>
      <c r="D168" s="294"/>
      <c r="E168" s="294"/>
      <c r="F168" s="294"/>
      <c r="G168" s="294"/>
      <c r="H168" s="294"/>
      <c r="I168" s="294"/>
      <c r="J168" s="294"/>
      <c r="K168" s="294"/>
      <c r="L168" s="294"/>
      <c r="M168" s="294"/>
      <c r="N168" s="294"/>
      <c r="O168" s="294"/>
      <c r="P168" s="323"/>
    </row>
    <row r="169" spans="1:23" x14ac:dyDescent="0.2">
      <c r="A169" s="94"/>
      <c r="B169" s="95"/>
      <c r="C169" s="96" t="s">
        <v>185</v>
      </c>
      <c r="D169" s="320" t="s">
        <v>252</v>
      </c>
      <c r="E169" s="321"/>
      <c r="F169" s="321"/>
      <c r="G169" s="321"/>
      <c r="H169" s="321"/>
      <c r="I169" s="321"/>
      <c r="J169" s="321"/>
      <c r="K169" s="321"/>
      <c r="L169" s="322"/>
      <c r="M169" s="324"/>
      <c r="N169" s="325"/>
      <c r="O169" s="325"/>
      <c r="P169" s="326"/>
    </row>
    <row r="170" spans="1:23" ht="15" customHeight="1" x14ac:dyDescent="0.2">
      <c r="A170" s="97"/>
      <c r="B170" s="98"/>
      <c r="C170" s="96" t="s">
        <v>186</v>
      </c>
      <c r="D170" s="320" t="s">
        <v>336</v>
      </c>
      <c r="E170" s="321"/>
      <c r="F170" s="321"/>
      <c r="G170" s="321"/>
      <c r="H170" s="321"/>
      <c r="I170" s="321"/>
      <c r="J170" s="321"/>
      <c r="K170" s="321"/>
      <c r="L170" s="322"/>
      <c r="M170" s="317"/>
      <c r="N170" s="318"/>
      <c r="O170" s="318"/>
      <c r="P170" s="319"/>
    </row>
    <row r="171" spans="1:23" x14ac:dyDescent="0.2">
      <c r="A171" s="99"/>
      <c r="B171" s="100"/>
      <c r="C171" s="96" t="s">
        <v>187</v>
      </c>
      <c r="D171" s="320" t="s">
        <v>188</v>
      </c>
      <c r="E171" s="321"/>
      <c r="F171" s="321"/>
      <c r="G171" s="321"/>
      <c r="H171" s="321"/>
      <c r="I171" s="321"/>
      <c r="J171" s="321"/>
      <c r="K171" s="321"/>
      <c r="L171" s="322"/>
      <c r="M171" s="317"/>
      <c r="N171" s="318"/>
      <c r="O171" s="318"/>
      <c r="P171" s="319"/>
    </row>
    <row r="172" spans="1:23" ht="33" customHeight="1" x14ac:dyDescent="0.2">
      <c r="A172" s="216" t="s">
        <v>156</v>
      </c>
      <c r="B172" s="217"/>
      <c r="C172" s="217"/>
      <c r="D172" s="217"/>
      <c r="E172" s="217"/>
      <c r="F172" s="217"/>
      <c r="G172" s="217"/>
      <c r="H172" s="217"/>
      <c r="I172" s="217"/>
      <c r="J172" s="217"/>
      <c r="K172" s="217"/>
      <c r="L172" s="217"/>
      <c r="M172" s="217"/>
      <c r="N172" s="217"/>
      <c r="O172" s="217"/>
      <c r="P172" s="218"/>
      <c r="Q172" s="133"/>
    </row>
    <row r="173" spans="1:23" ht="6" customHeight="1" thickBot="1" x14ac:dyDescent="0.25">
      <c r="A173" s="219"/>
      <c r="B173" s="220"/>
      <c r="C173" s="220"/>
      <c r="D173" s="220"/>
      <c r="E173" s="220"/>
      <c r="F173" s="220"/>
      <c r="G173" s="220"/>
      <c r="H173" s="220"/>
      <c r="I173" s="220"/>
      <c r="J173" s="220"/>
      <c r="K173" s="220"/>
      <c r="L173" s="220"/>
      <c r="M173" s="220"/>
      <c r="N173" s="220"/>
      <c r="O173" s="220"/>
      <c r="P173" s="221"/>
    </row>
    <row r="174" spans="1:23" x14ac:dyDescent="0.2">
      <c r="A174" s="207" t="s">
        <v>234</v>
      </c>
      <c r="B174" s="208"/>
      <c r="C174" s="171" t="s">
        <v>157</v>
      </c>
      <c r="D174" s="172"/>
      <c r="E174" s="172"/>
      <c r="F174" s="172"/>
      <c r="G174" s="172"/>
      <c r="H174" s="172"/>
      <c r="I174" s="172"/>
      <c r="J174" s="172"/>
      <c r="K174" s="172"/>
      <c r="L174" s="172"/>
      <c r="M174" s="311"/>
      <c r="N174" s="312"/>
      <c r="O174" s="312"/>
      <c r="P174" s="313"/>
    </row>
    <row r="175" spans="1:23" s="148" customFormat="1" ht="9.6" customHeight="1" x14ac:dyDescent="0.2">
      <c r="A175" s="225" t="s">
        <v>57</v>
      </c>
      <c r="B175" s="226"/>
      <c r="C175" s="226"/>
      <c r="D175" s="226"/>
      <c r="E175" s="226"/>
      <c r="F175" s="226"/>
      <c r="G175" s="226"/>
      <c r="H175" s="226"/>
      <c r="I175" s="226"/>
      <c r="J175" s="226"/>
      <c r="K175" s="226"/>
      <c r="L175" s="226"/>
      <c r="M175" s="226"/>
      <c r="N175" s="226"/>
      <c r="O175" s="226"/>
      <c r="P175" s="227"/>
      <c r="Q175" s="138"/>
      <c r="R175" s="138"/>
      <c r="S175" s="138"/>
      <c r="T175" s="138"/>
      <c r="U175" s="138"/>
      <c r="V175" s="138"/>
      <c r="W175" s="138"/>
    </row>
    <row r="176" spans="1:23" s="148" customFormat="1" ht="25.9" customHeight="1" thickBot="1" x14ac:dyDescent="0.25">
      <c r="A176" s="228"/>
      <c r="B176" s="229"/>
      <c r="C176" s="229"/>
      <c r="D176" s="229"/>
      <c r="E176" s="229"/>
      <c r="F176" s="229"/>
      <c r="G176" s="229"/>
      <c r="H176" s="229"/>
      <c r="I176" s="229"/>
      <c r="J176" s="229"/>
      <c r="K176" s="229"/>
      <c r="L176" s="229"/>
      <c r="M176" s="229"/>
      <c r="N176" s="229"/>
      <c r="O176" s="229"/>
      <c r="P176" s="230"/>
      <c r="Q176" s="139"/>
      <c r="R176" s="139"/>
      <c r="S176" s="139"/>
      <c r="T176" s="139"/>
      <c r="U176" s="139"/>
      <c r="V176" s="139"/>
      <c r="W176" s="139"/>
    </row>
    <row r="177" spans="1:23" s="148" customFormat="1" ht="7.9" customHeight="1" x14ac:dyDescent="0.2">
      <c r="A177" s="138"/>
      <c r="B177" s="138"/>
      <c r="C177" s="138"/>
      <c r="D177" s="138"/>
      <c r="E177" s="138"/>
      <c r="F177" s="138"/>
      <c r="G177" s="138"/>
      <c r="H177" s="138"/>
      <c r="I177" s="138"/>
      <c r="J177" s="138"/>
      <c r="K177" s="138"/>
      <c r="L177" s="138"/>
      <c r="M177" s="138"/>
      <c r="N177" s="138"/>
      <c r="O177" s="138"/>
      <c r="P177" s="138"/>
      <c r="Q177" s="138"/>
      <c r="R177" s="138"/>
      <c r="S177" s="138"/>
      <c r="T177" s="138"/>
      <c r="U177" s="138"/>
      <c r="V177" s="138"/>
      <c r="W177" s="138"/>
    </row>
    <row r="178" spans="1:23" s="144" customFormat="1" ht="12" customHeight="1" x14ac:dyDescent="0.2">
      <c r="A178" s="371" t="s">
        <v>337</v>
      </c>
      <c r="B178" s="371"/>
      <c r="C178" s="371"/>
      <c r="D178" s="371"/>
      <c r="E178" s="371"/>
      <c r="F178" s="371"/>
      <c r="G178" s="371"/>
      <c r="H178" s="371"/>
      <c r="I178" s="371"/>
      <c r="J178" s="371"/>
      <c r="K178" s="371"/>
      <c r="L178" s="371"/>
      <c r="M178" s="371"/>
      <c r="N178" s="371"/>
      <c r="O178" s="371"/>
      <c r="P178" s="371"/>
      <c r="Q178" s="141"/>
      <c r="R178" s="141"/>
      <c r="S178" s="141"/>
      <c r="T178" s="141"/>
      <c r="U178" s="141"/>
      <c r="V178" s="141"/>
      <c r="W178" s="141"/>
    </row>
    <row r="179" spans="1:23" s="144" customFormat="1" ht="25.9" customHeight="1" x14ac:dyDescent="0.2">
      <c r="A179" s="140"/>
      <c r="B179" s="138"/>
      <c r="C179" s="138"/>
      <c r="D179" s="138"/>
      <c r="E179" s="138"/>
      <c r="F179" s="138"/>
      <c r="G179" s="138"/>
      <c r="H179" s="138"/>
      <c r="I179" s="138"/>
      <c r="J179" s="141"/>
      <c r="K179" s="141"/>
      <c r="L179" s="141"/>
      <c r="M179" s="141"/>
      <c r="N179" s="141"/>
      <c r="O179" s="141"/>
      <c r="P179" s="141"/>
    </row>
    <row r="180" spans="1:23" s="144" customFormat="1" ht="26.45" customHeight="1" x14ac:dyDescent="0.2">
      <c r="A180" s="149" t="s">
        <v>338</v>
      </c>
      <c r="B180" s="150"/>
      <c r="C180" s="150"/>
      <c r="D180" s="150"/>
      <c r="E180" s="150"/>
      <c r="F180" s="150"/>
      <c r="G180" s="151"/>
      <c r="H180" s="151"/>
      <c r="I180" s="152"/>
      <c r="J180" s="141"/>
      <c r="K180" s="141"/>
      <c r="L180" s="141"/>
      <c r="M180" s="141"/>
      <c r="N180" s="141"/>
      <c r="O180" s="141"/>
      <c r="P180" s="141"/>
    </row>
    <row r="181" spans="1:23" s="144" customFormat="1" ht="13.15" customHeight="1" x14ac:dyDescent="0.2">
      <c r="A181" s="372"/>
      <c r="B181" s="373"/>
      <c r="C181" s="373"/>
      <c r="D181" s="373"/>
      <c r="E181" s="373"/>
      <c r="F181" s="373"/>
      <c r="G181" s="374"/>
      <c r="H181" s="142"/>
      <c r="I181" s="143"/>
      <c r="J181" s="141"/>
      <c r="K181" s="141"/>
      <c r="L181" s="141"/>
      <c r="M181" s="153"/>
      <c r="N181" s="153"/>
      <c r="O181" s="141"/>
      <c r="P181" s="141"/>
    </row>
    <row r="182" spans="1:23" s="144" customFormat="1" ht="13.15" customHeight="1" x14ac:dyDescent="0.2">
      <c r="A182" s="360" t="s">
        <v>339</v>
      </c>
      <c r="B182" s="361"/>
      <c r="C182" s="361"/>
      <c r="D182" s="361"/>
      <c r="E182" s="361"/>
      <c r="F182" s="361"/>
      <c r="G182" s="362"/>
      <c r="H182" s="154" t="s">
        <v>340</v>
      </c>
      <c r="I182" s="152"/>
      <c r="K182" s="376" t="s">
        <v>341</v>
      </c>
      <c r="L182" s="376"/>
      <c r="M182" s="376"/>
      <c r="N182" s="153"/>
      <c r="O182" s="153"/>
      <c r="P182" s="141"/>
      <c r="Q182" s="141"/>
    </row>
    <row r="183" spans="1:23" s="144" customFormat="1" x14ac:dyDescent="0.2">
      <c r="K183" s="376"/>
      <c r="L183" s="376"/>
      <c r="M183" s="376"/>
      <c r="N183" s="153"/>
      <c r="O183" s="153"/>
      <c r="P183" s="141"/>
      <c r="Q183" s="141"/>
    </row>
    <row r="184" spans="1:23" s="144" customFormat="1" x14ac:dyDescent="0.2">
      <c r="A184" s="367" t="s">
        <v>347</v>
      </c>
      <c r="B184" s="368"/>
      <c r="C184" s="349"/>
      <c r="D184" s="350"/>
      <c r="E184" s="155"/>
      <c r="F184" s="155"/>
      <c r="G184" s="155"/>
      <c r="H184" s="143"/>
      <c r="I184" s="375"/>
      <c r="J184" s="141"/>
      <c r="K184" s="376"/>
      <c r="L184" s="376"/>
      <c r="M184" s="376"/>
      <c r="N184" s="153"/>
      <c r="O184" s="141"/>
      <c r="P184" s="141"/>
    </row>
    <row r="185" spans="1:23" s="144" customFormat="1" x14ac:dyDescent="0.2">
      <c r="A185" s="369"/>
      <c r="B185" s="370"/>
      <c r="C185" s="351"/>
      <c r="D185" s="352"/>
      <c r="E185" s="155"/>
      <c r="F185" s="155"/>
      <c r="G185" s="155"/>
      <c r="H185" s="143"/>
      <c r="I185" s="375"/>
      <c r="J185" s="141"/>
      <c r="K185" s="376"/>
      <c r="L185" s="376"/>
      <c r="M185" s="376"/>
      <c r="N185" s="153"/>
      <c r="O185" s="141"/>
      <c r="P185" s="141"/>
    </row>
    <row r="186" spans="1:23" s="144" customFormat="1" ht="13.15" customHeight="1" x14ac:dyDescent="0.2">
      <c r="A186" s="156" t="s">
        <v>342</v>
      </c>
      <c r="C186" s="156"/>
      <c r="J186" s="141"/>
      <c r="K186" s="376"/>
      <c r="L186" s="376"/>
      <c r="M186" s="376"/>
      <c r="N186" s="153"/>
      <c r="O186" s="141"/>
      <c r="P186" s="141"/>
    </row>
    <row r="187" spans="1:23" s="144" customFormat="1" ht="25.15" customHeight="1" x14ac:dyDescent="0.2">
      <c r="J187" s="141"/>
      <c r="K187" s="376"/>
      <c r="L187" s="376"/>
      <c r="M187" s="376"/>
      <c r="N187" s="141"/>
      <c r="O187" s="141"/>
      <c r="P187" s="141"/>
    </row>
    <row r="188" spans="1:23" s="144" customFormat="1" x14ac:dyDescent="0.2">
      <c r="A188" s="379" t="s">
        <v>348</v>
      </c>
      <c r="B188" s="380"/>
      <c r="C188" s="380"/>
      <c r="D188" s="381"/>
      <c r="E188" s="379" t="s">
        <v>349</v>
      </c>
      <c r="F188" s="380"/>
      <c r="G188" s="380"/>
      <c r="H188" s="381"/>
      <c r="J188" s="141"/>
      <c r="K188" s="141"/>
      <c r="L188" s="141"/>
      <c r="M188" s="141"/>
      <c r="N188" s="141"/>
      <c r="O188" s="141"/>
      <c r="P188" s="141"/>
    </row>
    <row r="189" spans="1:23" s="144" customFormat="1" x14ac:dyDescent="0.2">
      <c r="A189" s="379"/>
      <c r="B189" s="380"/>
      <c r="C189" s="380"/>
      <c r="D189" s="382"/>
      <c r="E189" s="379"/>
      <c r="F189" s="380"/>
      <c r="G189" s="380"/>
      <c r="H189" s="382"/>
    </row>
    <row r="190" spans="1:23" s="144" customFormat="1" x14ac:dyDescent="0.2"/>
    <row r="191" spans="1:23" s="144" customFormat="1" ht="13.15" customHeight="1" x14ac:dyDescent="0.2">
      <c r="A191" s="145"/>
      <c r="B191" s="145"/>
      <c r="C191" s="145"/>
      <c r="D191" s="145"/>
      <c r="E191" s="145"/>
      <c r="F191" s="145"/>
      <c r="G191" s="145"/>
      <c r="H191" s="145"/>
      <c r="I191" s="145"/>
      <c r="J191" s="145"/>
      <c r="K191" s="145"/>
      <c r="L191" s="145"/>
      <c r="M191" s="145"/>
      <c r="N191" s="145"/>
      <c r="O191" s="145"/>
      <c r="P191" s="145"/>
    </row>
    <row r="192" spans="1:23" s="144" customFormat="1" ht="27" customHeight="1" x14ac:dyDescent="0.2"/>
    <row r="193" spans="1:23" s="144" customFormat="1" ht="26.45" customHeight="1" x14ac:dyDescent="0.2">
      <c r="A193" s="377" t="s">
        <v>338</v>
      </c>
      <c r="B193" s="383"/>
      <c r="C193" s="383"/>
      <c r="D193" s="383"/>
      <c r="E193" s="383"/>
      <c r="F193" s="383"/>
      <c r="G193" s="378"/>
      <c r="H193" s="157"/>
      <c r="I193" s="384" t="s">
        <v>350</v>
      </c>
      <c r="J193" s="385"/>
      <c r="K193" s="385"/>
      <c r="L193" s="385"/>
      <c r="M193" s="386"/>
      <c r="N193" s="387"/>
      <c r="O193" s="388"/>
      <c r="P193" s="141"/>
    </row>
    <row r="194" spans="1:23" s="144" customFormat="1" x14ac:dyDescent="0.2">
      <c r="A194" s="357"/>
      <c r="B194" s="358"/>
      <c r="C194" s="358"/>
      <c r="D194" s="358"/>
      <c r="E194" s="359"/>
      <c r="F194" s="357"/>
      <c r="G194" s="359"/>
      <c r="H194" s="143"/>
      <c r="I194" s="156"/>
      <c r="J194" s="146"/>
      <c r="K194" s="147"/>
      <c r="L194" s="147"/>
      <c r="M194" s="147"/>
      <c r="N194" s="156" t="s">
        <v>342</v>
      </c>
      <c r="O194" s="147"/>
      <c r="Q194" s="141"/>
      <c r="R194" s="141"/>
      <c r="S194" s="141"/>
      <c r="T194" s="141"/>
      <c r="U194" s="141"/>
      <c r="V194" s="141"/>
      <c r="W194" s="141"/>
    </row>
    <row r="195" spans="1:23" s="144" customFormat="1" ht="13.15" customHeight="1" x14ac:dyDescent="0.2">
      <c r="A195" s="360" t="s">
        <v>343</v>
      </c>
      <c r="B195" s="361"/>
      <c r="C195" s="361"/>
      <c r="D195" s="361"/>
      <c r="E195" s="362"/>
      <c r="F195" s="377" t="s">
        <v>340</v>
      </c>
      <c r="G195" s="378"/>
      <c r="H195" s="152"/>
      <c r="I195" s="389" t="s">
        <v>345</v>
      </c>
      <c r="J195" s="390"/>
      <c r="K195" s="390"/>
      <c r="L195" s="390"/>
      <c r="M195" s="391"/>
      <c r="N195" s="349"/>
      <c r="O195" s="350"/>
    </row>
    <row r="196" spans="1:23" s="144" customFormat="1" x14ac:dyDescent="0.2">
      <c r="I196" s="392"/>
      <c r="J196" s="393"/>
      <c r="K196" s="393"/>
      <c r="L196" s="393"/>
      <c r="M196" s="394"/>
      <c r="N196" s="351"/>
      <c r="O196" s="352"/>
    </row>
    <row r="197" spans="1:23" s="144" customFormat="1" ht="13.15" customHeight="1" x14ac:dyDescent="0.2">
      <c r="A197" s="363" t="s">
        <v>344</v>
      </c>
      <c r="B197" s="364"/>
      <c r="C197" s="353"/>
      <c r="D197" s="354"/>
      <c r="I197" s="347" t="s">
        <v>346</v>
      </c>
      <c r="J197" s="347"/>
      <c r="K197" s="347"/>
      <c r="L197" s="347"/>
      <c r="M197" s="347"/>
      <c r="N197" s="156" t="s">
        <v>342</v>
      </c>
    </row>
    <row r="198" spans="1:23" s="144" customFormat="1" x14ac:dyDescent="0.2">
      <c r="A198" s="365"/>
      <c r="B198" s="366"/>
      <c r="C198" s="355"/>
      <c r="D198" s="356"/>
      <c r="I198" s="348"/>
      <c r="J198" s="348"/>
      <c r="K198" s="348"/>
      <c r="L198" s="348"/>
      <c r="M198" s="348"/>
      <c r="N198" s="158"/>
      <c r="Q198" s="141"/>
    </row>
    <row r="199" spans="1:23" s="144" customFormat="1" x14ac:dyDescent="0.2">
      <c r="C199" s="156"/>
      <c r="Q199" s="141"/>
    </row>
    <row r="200" spans="1:23" s="144" customFormat="1" x14ac:dyDescent="0.2">
      <c r="K200" s="158"/>
      <c r="L200" s="158"/>
      <c r="M200" s="158"/>
      <c r="N200" s="158"/>
      <c r="O200" s="141"/>
      <c r="P200" s="141"/>
      <c r="Q200" s="141"/>
    </row>
    <row r="201" spans="1:23" x14ac:dyDescent="0.2">
      <c r="A201" s="144"/>
      <c r="B201" s="144"/>
      <c r="C201" s="144"/>
      <c r="D201" s="144"/>
      <c r="E201" s="144"/>
      <c r="F201" s="144"/>
      <c r="G201" s="144"/>
      <c r="H201" s="144"/>
      <c r="I201" s="144"/>
      <c r="J201" s="158"/>
      <c r="K201" s="158"/>
      <c r="L201" s="158"/>
      <c r="M201" s="158"/>
      <c r="N201" s="158"/>
      <c r="O201" s="141"/>
      <c r="P201" s="141"/>
    </row>
    <row r="202" spans="1:23" x14ac:dyDescent="0.2">
      <c r="A202" s="144"/>
      <c r="B202" s="144"/>
      <c r="C202" s="144"/>
      <c r="D202" s="144"/>
      <c r="E202" s="144"/>
      <c r="F202" s="144"/>
      <c r="G202" s="144"/>
      <c r="H202" s="144"/>
      <c r="I202" s="144"/>
      <c r="J202" s="158"/>
      <c r="K202" s="158"/>
      <c r="L202" s="158"/>
      <c r="M202" s="158"/>
      <c r="N202" s="158"/>
      <c r="O202" s="141"/>
      <c r="P202" s="141"/>
    </row>
  </sheetData>
  <mergeCells count="393">
    <mergeCell ref="I197:M198"/>
    <mergeCell ref="N195:O196"/>
    <mergeCell ref="C197:D198"/>
    <mergeCell ref="A194:E194"/>
    <mergeCell ref="A195:E195"/>
    <mergeCell ref="A197:B198"/>
    <mergeCell ref="A184:B185"/>
    <mergeCell ref="A178:P178"/>
    <mergeCell ref="A181:G181"/>
    <mergeCell ref="A182:G182"/>
    <mergeCell ref="C184:D185"/>
    <mergeCell ref="I184:I185"/>
    <mergeCell ref="K182:M187"/>
    <mergeCell ref="F195:G195"/>
    <mergeCell ref="A188:C189"/>
    <mergeCell ref="E188:G189"/>
    <mergeCell ref="D188:D189"/>
    <mergeCell ref="H188:H189"/>
    <mergeCell ref="A193:G193"/>
    <mergeCell ref="I193:M193"/>
    <mergeCell ref="F194:G194"/>
    <mergeCell ref="N193:O193"/>
    <mergeCell ref="I195:M196"/>
    <mergeCell ref="D8:E8"/>
    <mergeCell ref="J10:O10"/>
    <mergeCell ref="C105:K105"/>
    <mergeCell ref="M105:P105"/>
    <mergeCell ref="M107:P107"/>
    <mergeCell ref="M108:P108"/>
    <mergeCell ref="M109:P109"/>
    <mergeCell ref="M110:P110"/>
    <mergeCell ref="M111:P111"/>
    <mergeCell ref="B107:K107"/>
    <mergeCell ref="B108:K108"/>
    <mergeCell ref="B109:K109"/>
    <mergeCell ref="B110:K110"/>
    <mergeCell ref="B111:K111"/>
    <mergeCell ref="D16:I16"/>
    <mergeCell ref="N17:O17"/>
    <mergeCell ref="D18:I18"/>
    <mergeCell ref="C78:K78"/>
    <mergeCell ref="C83:K83"/>
    <mergeCell ref="C88:K88"/>
    <mergeCell ref="C93:K93"/>
    <mergeCell ref="C98:K98"/>
    <mergeCell ref="A42:B43"/>
    <mergeCell ref="A48:B49"/>
    <mergeCell ref="M171:P171"/>
    <mergeCell ref="D169:L169"/>
    <mergeCell ref="D170:L170"/>
    <mergeCell ref="D171:L171"/>
    <mergeCell ref="A168:B168"/>
    <mergeCell ref="C168:P168"/>
    <mergeCell ref="M169:P169"/>
    <mergeCell ref="M170:P170"/>
    <mergeCell ref="A68:B69"/>
    <mergeCell ref="C68:L69"/>
    <mergeCell ref="M68:P69"/>
    <mergeCell ref="A70:B71"/>
    <mergeCell ref="C70:L71"/>
    <mergeCell ref="M70:P71"/>
    <mergeCell ref="A166:P167"/>
    <mergeCell ref="J164:K164"/>
    <mergeCell ref="M164:P164"/>
    <mergeCell ref="A154:B154"/>
    <mergeCell ref="D154:I154"/>
    <mergeCell ref="J154:K154"/>
    <mergeCell ref="M154:P154"/>
    <mergeCell ref="A155:B155"/>
    <mergeCell ref="M155:P155"/>
    <mergeCell ref="A156:B156"/>
    <mergeCell ref="A174:B174"/>
    <mergeCell ref="M174:P174"/>
    <mergeCell ref="C174:L174"/>
    <mergeCell ref="C130:K130"/>
    <mergeCell ref="C140:K140"/>
    <mergeCell ref="C135:K135"/>
    <mergeCell ref="C145:K145"/>
    <mergeCell ref="C150:K150"/>
    <mergeCell ref="C155:K155"/>
    <mergeCell ref="C160:K160"/>
    <mergeCell ref="C165:K165"/>
    <mergeCell ref="A172:P173"/>
    <mergeCell ref="A165:B165"/>
    <mergeCell ref="M165:P165"/>
    <mergeCell ref="A162:B162"/>
    <mergeCell ref="D162:I162"/>
    <mergeCell ref="J162:K162"/>
    <mergeCell ref="M162:P162"/>
    <mergeCell ref="A163:B163"/>
    <mergeCell ref="D163:I163"/>
    <mergeCell ref="J163:K163"/>
    <mergeCell ref="M163:P163"/>
    <mergeCell ref="A164:B164"/>
    <mergeCell ref="D164:I164"/>
    <mergeCell ref="C101:P101"/>
    <mergeCell ref="A85:B85"/>
    <mergeCell ref="D85:I85"/>
    <mergeCell ref="J85:K85"/>
    <mergeCell ref="M85:P85"/>
    <mergeCell ref="A115:B115"/>
    <mergeCell ref="D115:I115"/>
    <mergeCell ref="J115:K115"/>
    <mergeCell ref="M115:P115"/>
    <mergeCell ref="D96:I96"/>
    <mergeCell ref="A104:B104"/>
    <mergeCell ref="D104:I104"/>
    <mergeCell ref="J104:K104"/>
    <mergeCell ref="M104:P104"/>
    <mergeCell ref="A105:B105"/>
    <mergeCell ref="D86:I86"/>
    <mergeCell ref="J86:K86"/>
    <mergeCell ref="M86:P86"/>
    <mergeCell ref="A87:B87"/>
    <mergeCell ref="D87:I87"/>
    <mergeCell ref="J87:K87"/>
    <mergeCell ref="M87:P87"/>
    <mergeCell ref="C42:L43"/>
    <mergeCell ref="J22:L22"/>
    <mergeCell ref="D52:L52"/>
    <mergeCell ref="D54:L54"/>
    <mergeCell ref="M52:P52"/>
    <mergeCell ref="M54:P54"/>
    <mergeCell ref="M44:P44"/>
    <mergeCell ref="M45:P45"/>
    <mergeCell ref="M46:P46"/>
    <mergeCell ref="M47:P47"/>
    <mergeCell ref="C48:L49"/>
    <mergeCell ref="K24:P24"/>
    <mergeCell ref="A25:P25"/>
    <mergeCell ref="F26:P26"/>
    <mergeCell ref="F27:H27"/>
    <mergeCell ref="Q145:Q147"/>
    <mergeCell ref="C151:P151"/>
    <mergeCell ref="A152:B152"/>
    <mergeCell ref="D152:I152"/>
    <mergeCell ref="J152:K152"/>
    <mergeCell ref="M152:P152"/>
    <mergeCell ref="A153:B153"/>
    <mergeCell ref="D153:I153"/>
    <mergeCell ref="J153:K153"/>
    <mergeCell ref="M153:P153"/>
    <mergeCell ref="A149:B149"/>
    <mergeCell ref="D149:I149"/>
    <mergeCell ref="J149:K149"/>
    <mergeCell ref="M149:P149"/>
    <mergeCell ref="A151:B151"/>
    <mergeCell ref="C141:P141"/>
    <mergeCell ref="C146:P146"/>
    <mergeCell ref="A150:B150"/>
    <mergeCell ref="M150:P150"/>
    <mergeCell ref="A145:B145"/>
    <mergeCell ref="M145:P145"/>
    <mergeCell ref="A147:B147"/>
    <mergeCell ref="D147:I147"/>
    <mergeCell ref="J147:K147"/>
    <mergeCell ref="M147:P147"/>
    <mergeCell ref="A148:B148"/>
    <mergeCell ref="D148:I148"/>
    <mergeCell ref="J148:K148"/>
    <mergeCell ref="M148:P148"/>
    <mergeCell ref="A142:B142"/>
    <mergeCell ref="D142:I142"/>
    <mergeCell ref="J142:K142"/>
    <mergeCell ref="M142:P142"/>
    <mergeCell ref="A143:B143"/>
    <mergeCell ref="D143:I143"/>
    <mergeCell ref="J143:K143"/>
    <mergeCell ref="M143:P143"/>
    <mergeCell ref="A144:B144"/>
    <mergeCell ref="D144:I144"/>
    <mergeCell ref="J144:K144"/>
    <mergeCell ref="M144:P144"/>
    <mergeCell ref="A140:B140"/>
    <mergeCell ref="M140:P140"/>
    <mergeCell ref="C136:P136"/>
    <mergeCell ref="A126:B126"/>
    <mergeCell ref="C126:P126"/>
    <mergeCell ref="A127:B127"/>
    <mergeCell ref="D127:I127"/>
    <mergeCell ref="J127:K127"/>
    <mergeCell ref="M127:P127"/>
    <mergeCell ref="A128:B128"/>
    <mergeCell ref="D128:I128"/>
    <mergeCell ref="J128:K128"/>
    <mergeCell ref="M128:P128"/>
    <mergeCell ref="A129:B129"/>
    <mergeCell ref="D129:I129"/>
    <mergeCell ref="J129:K129"/>
    <mergeCell ref="M129:P129"/>
    <mergeCell ref="A130:B130"/>
    <mergeCell ref="M130:P130"/>
    <mergeCell ref="A137:B137"/>
    <mergeCell ref="D137:I137"/>
    <mergeCell ref="J137:K137"/>
    <mergeCell ref="A133:B133"/>
    <mergeCell ref="D133:I133"/>
    <mergeCell ref="J133:K133"/>
    <mergeCell ref="M133:P133"/>
    <mergeCell ref="D134:I134"/>
    <mergeCell ref="J134:K134"/>
    <mergeCell ref="M134:P134"/>
    <mergeCell ref="A135:B135"/>
    <mergeCell ref="M135:P135"/>
    <mergeCell ref="A134:B134"/>
    <mergeCell ref="M137:P137"/>
    <mergeCell ref="A138:B138"/>
    <mergeCell ref="D138:I138"/>
    <mergeCell ref="J138:K138"/>
    <mergeCell ref="M138:P138"/>
    <mergeCell ref="A139:B139"/>
    <mergeCell ref="D139:I139"/>
    <mergeCell ref="J139:K139"/>
    <mergeCell ref="M139:P139"/>
    <mergeCell ref="Q56:Q57"/>
    <mergeCell ref="M62:P63"/>
    <mergeCell ref="A64:B65"/>
    <mergeCell ref="M64:P65"/>
    <mergeCell ref="A62:B63"/>
    <mergeCell ref="C62:L63"/>
    <mergeCell ref="M60:P61"/>
    <mergeCell ref="A60:B61"/>
    <mergeCell ref="A56:B57"/>
    <mergeCell ref="C56:L57"/>
    <mergeCell ref="M56:P57"/>
    <mergeCell ref="A58:B59"/>
    <mergeCell ref="C60:L61"/>
    <mergeCell ref="C58:L59"/>
    <mergeCell ref="C64:L65"/>
    <mergeCell ref="M75:P75"/>
    <mergeCell ref="A88:B88"/>
    <mergeCell ref="M88:P88"/>
    <mergeCell ref="A86:B86"/>
    <mergeCell ref="M122:P122"/>
    <mergeCell ref="A116:B116"/>
    <mergeCell ref="D116:I116"/>
    <mergeCell ref="J116:K116"/>
    <mergeCell ref="M116:P116"/>
    <mergeCell ref="A117:B117"/>
    <mergeCell ref="D117:I117"/>
    <mergeCell ref="J117:K117"/>
    <mergeCell ref="M117:P117"/>
    <mergeCell ref="A118:B118"/>
    <mergeCell ref="M120:P120"/>
    <mergeCell ref="A121:B121"/>
    <mergeCell ref="D121:I121"/>
    <mergeCell ref="J121:K121"/>
    <mergeCell ref="M121:P121"/>
    <mergeCell ref="A122:B122"/>
    <mergeCell ref="D122:I122"/>
    <mergeCell ref="C119:P119"/>
    <mergeCell ref="A99:P100"/>
    <mergeCell ref="A101:B101"/>
    <mergeCell ref="C41:L41"/>
    <mergeCell ref="M41:P41"/>
    <mergeCell ref="A39:P40"/>
    <mergeCell ref="A146:B146"/>
    <mergeCell ref="A66:B67"/>
    <mergeCell ref="C66:L67"/>
    <mergeCell ref="M66:P67"/>
    <mergeCell ref="A79:B79"/>
    <mergeCell ref="A84:B84"/>
    <mergeCell ref="A74:B74"/>
    <mergeCell ref="C74:P74"/>
    <mergeCell ref="A75:B75"/>
    <mergeCell ref="D90:I90"/>
    <mergeCell ref="J90:K90"/>
    <mergeCell ref="M90:P90"/>
    <mergeCell ref="M76:P76"/>
    <mergeCell ref="A77:B77"/>
    <mergeCell ref="D77:I77"/>
    <mergeCell ref="J77:K77"/>
    <mergeCell ref="M77:P77"/>
    <mergeCell ref="A72:P72"/>
    <mergeCell ref="A73:P73"/>
    <mergeCell ref="D75:I75"/>
    <mergeCell ref="J75:K75"/>
    <mergeCell ref="A102:B102"/>
    <mergeCell ref="D102:I102"/>
    <mergeCell ref="J102:K102"/>
    <mergeCell ref="M102:P102"/>
    <mergeCell ref="A175:P176"/>
    <mergeCell ref="N2:P2"/>
    <mergeCell ref="B6:L6"/>
    <mergeCell ref="J12:K12"/>
    <mergeCell ref="E22:F22"/>
    <mergeCell ref="M20:O20"/>
    <mergeCell ref="G20:K20"/>
    <mergeCell ref="N16:O16"/>
    <mergeCell ref="N18:O18"/>
    <mergeCell ref="M42:P43"/>
    <mergeCell ref="B33:D33"/>
    <mergeCell ref="M48:P49"/>
    <mergeCell ref="A41:B41"/>
    <mergeCell ref="A50:B51"/>
    <mergeCell ref="C50:L51"/>
    <mergeCell ref="M50:P51"/>
    <mergeCell ref="M58:P59"/>
    <mergeCell ref="A161:B161"/>
    <mergeCell ref="A136:B136"/>
    <mergeCell ref="A141:B141"/>
    <mergeCell ref="A103:B103"/>
    <mergeCell ref="D103:I103"/>
    <mergeCell ref="J103:K103"/>
    <mergeCell ref="M103:P103"/>
    <mergeCell ref="M118:P118"/>
    <mergeCell ref="C118:K118"/>
    <mergeCell ref="D132:I132"/>
    <mergeCell ref="J132:K132"/>
    <mergeCell ref="M132:P132"/>
    <mergeCell ref="A131:B131"/>
    <mergeCell ref="C131:P131"/>
    <mergeCell ref="A132:B132"/>
    <mergeCell ref="C114:P114"/>
    <mergeCell ref="A114:B114"/>
    <mergeCell ref="A112:P113"/>
    <mergeCell ref="A119:B119"/>
    <mergeCell ref="A120:B120"/>
    <mergeCell ref="D120:I120"/>
    <mergeCell ref="J120:K120"/>
    <mergeCell ref="J122:K122"/>
    <mergeCell ref="C123:K123"/>
    <mergeCell ref="A123:B123"/>
    <mergeCell ref="M123:P123"/>
    <mergeCell ref="A124:P125"/>
    <mergeCell ref="D91:I91"/>
    <mergeCell ref="A98:B98"/>
    <mergeCell ref="M98:P98"/>
    <mergeCell ref="A97:B97"/>
    <mergeCell ref="D97:I97"/>
    <mergeCell ref="A94:B94"/>
    <mergeCell ref="C94:P94"/>
    <mergeCell ref="A95:B95"/>
    <mergeCell ref="D95:I95"/>
    <mergeCell ref="J95:K95"/>
    <mergeCell ref="M95:P95"/>
    <mergeCell ref="A96:B96"/>
    <mergeCell ref="J96:K96"/>
    <mergeCell ref="M96:P96"/>
    <mergeCell ref="J91:K91"/>
    <mergeCell ref="M91:P91"/>
    <mergeCell ref="A92:B92"/>
    <mergeCell ref="J92:K92"/>
    <mergeCell ref="M92:P92"/>
    <mergeCell ref="D92:I92"/>
    <mergeCell ref="Q66:S74"/>
    <mergeCell ref="C161:P161"/>
    <mergeCell ref="A160:B160"/>
    <mergeCell ref="M160:P160"/>
    <mergeCell ref="C156:P156"/>
    <mergeCell ref="A157:B157"/>
    <mergeCell ref="D157:I157"/>
    <mergeCell ref="J157:K157"/>
    <mergeCell ref="M157:P157"/>
    <mergeCell ref="A158:B158"/>
    <mergeCell ref="D158:I158"/>
    <mergeCell ref="J158:K158"/>
    <mergeCell ref="M158:P158"/>
    <mergeCell ref="A159:B159"/>
    <mergeCell ref="D159:I159"/>
    <mergeCell ref="J159:K159"/>
    <mergeCell ref="M159:P159"/>
    <mergeCell ref="A81:B81"/>
    <mergeCell ref="D81:I81"/>
    <mergeCell ref="J81:K81"/>
    <mergeCell ref="M81:P81"/>
    <mergeCell ref="A82:B82"/>
    <mergeCell ref="Q75:Q76"/>
    <mergeCell ref="A93:B93"/>
    <mergeCell ref="C84:P84"/>
    <mergeCell ref="A83:B83"/>
    <mergeCell ref="M83:P83"/>
    <mergeCell ref="J97:K97"/>
    <mergeCell ref="M97:P97"/>
    <mergeCell ref="A52:B55"/>
    <mergeCell ref="D82:I82"/>
    <mergeCell ref="J82:K82"/>
    <mergeCell ref="M82:P82"/>
    <mergeCell ref="A78:B78"/>
    <mergeCell ref="M78:P78"/>
    <mergeCell ref="C79:P79"/>
    <mergeCell ref="A80:B80"/>
    <mergeCell ref="D80:I80"/>
    <mergeCell ref="J80:K80"/>
    <mergeCell ref="M80:P80"/>
    <mergeCell ref="A76:B76"/>
    <mergeCell ref="D76:I76"/>
    <mergeCell ref="J76:K76"/>
    <mergeCell ref="M93:P93"/>
    <mergeCell ref="C89:P89"/>
    <mergeCell ref="A89:B89"/>
    <mergeCell ref="A90:B90"/>
    <mergeCell ref="A91:B91"/>
  </mergeCells>
  <phoneticPr fontId="1" type="noConversion"/>
  <dataValidations count="1">
    <dataValidation type="whole" allowBlank="1" showInputMessage="1" showErrorMessage="1" error="Введите правильное полугодие" sqref="L12">
      <formula1>1</formula1>
      <formula2>2</formula2>
    </dataValidation>
  </dataValidations>
  <pageMargins left="0.74803149606299213" right="0.74803149606299213" top="0.98425196850393704" bottom="0.98425196850393704" header="0.51181102362204722" footer="0.51181102362204722"/>
  <pageSetup paperSize="9" scale="46" fitToHeight="4" orientation="portrait" r:id="rId1"/>
  <headerFooter alignWithMargins="0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4108" r:id="rId4" name="Option Button 12">
              <controlPr defaultSize="0" autoFill="0" autoLine="0" autoPict="0">
                <anchor moveWithCells="1">
                  <from>
                    <xdr:col>3</xdr:col>
                    <xdr:colOff>19050</xdr:colOff>
                    <xdr:row>21</xdr:row>
                    <xdr:rowOff>180975</xdr:rowOff>
                  </from>
                  <to>
                    <xdr:col>4</xdr:col>
                    <xdr:colOff>228600</xdr:colOff>
                    <xdr:row>21</xdr:row>
                    <xdr:rowOff>390525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09" r:id="rId5" name="Option Button 13">
              <controlPr defaultSize="0" autoFill="0" autoLine="0" autoPict="0">
                <anchor moveWithCells="1">
                  <from>
                    <xdr:col>5</xdr:col>
                    <xdr:colOff>247650</xdr:colOff>
                    <xdr:row>21</xdr:row>
                    <xdr:rowOff>200025</xdr:rowOff>
                  </from>
                  <to>
                    <xdr:col>7</xdr:col>
                    <xdr:colOff>438150</xdr:colOff>
                    <xdr:row>21</xdr:row>
                    <xdr:rowOff>400050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10" r:id="rId6" name="Option Button 14">
              <controlPr defaultSize="0" autoFill="0" autoLine="0" autoPict="0">
                <anchor moveWithCells="1">
                  <from>
                    <xdr:col>12</xdr:col>
                    <xdr:colOff>0</xdr:colOff>
                    <xdr:row>21</xdr:row>
                    <xdr:rowOff>171450</xdr:rowOff>
                  </from>
                  <to>
                    <xdr:col>13</xdr:col>
                    <xdr:colOff>504825</xdr:colOff>
                    <xdr:row>21</xdr:row>
                    <xdr:rowOff>381000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11" r:id="rId7" name="Option Button 15">
              <controlPr defaultSize="0" autoFill="0" autoLine="0" autoPict="0">
                <anchor moveWithCells="1">
                  <from>
                    <xdr:col>14</xdr:col>
                    <xdr:colOff>838200</xdr:colOff>
                    <xdr:row>21</xdr:row>
                    <xdr:rowOff>180975</xdr:rowOff>
                  </from>
                  <to>
                    <xdr:col>16</xdr:col>
                    <xdr:colOff>276225</xdr:colOff>
                    <xdr:row>21</xdr:row>
                    <xdr:rowOff>390525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13" r:id="rId8" name="Option Button 17">
              <controlPr defaultSize="0" autoFill="0" autoLine="0" autoPict="0">
                <anchor moveWithCells="1">
                  <from>
                    <xdr:col>8</xdr:col>
                    <xdr:colOff>19050</xdr:colOff>
                    <xdr:row>21</xdr:row>
                    <xdr:rowOff>180975</xdr:rowOff>
                  </from>
                  <to>
                    <xdr:col>10</xdr:col>
                    <xdr:colOff>85725</xdr:colOff>
                    <xdr:row>21</xdr:row>
                    <xdr:rowOff>390525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"/>
  <dimension ref="A2:I39"/>
  <sheetViews>
    <sheetView topLeftCell="A4" zoomScaleNormal="100" workbookViewId="0">
      <selection activeCell="C25" sqref="C25"/>
    </sheetView>
  </sheetViews>
  <sheetFormatPr defaultColWidth="8.7109375" defaultRowHeight="12.75" x14ac:dyDescent="0.2"/>
  <cols>
    <col min="1" max="1" width="3.42578125" style="16" customWidth="1"/>
    <col min="2" max="2" width="26.28515625" style="16" customWidth="1"/>
    <col min="3" max="4" width="21" style="16" customWidth="1"/>
    <col min="5" max="5" width="17.140625" style="16" customWidth="1"/>
    <col min="6" max="6" width="21.7109375" style="16" customWidth="1"/>
    <col min="7" max="7" width="23.5703125" style="16" customWidth="1"/>
    <col min="8" max="10" width="8.7109375" style="16"/>
    <col min="11" max="11" width="51.140625" style="16" customWidth="1"/>
    <col min="12" max="12" width="8.7109375" style="16" customWidth="1"/>
    <col min="13" max="16384" width="8.7109375" style="16"/>
  </cols>
  <sheetData>
    <row r="2" spans="1:9" x14ac:dyDescent="0.2">
      <c r="F2" s="17" t="s">
        <v>14</v>
      </c>
    </row>
    <row r="3" spans="1:9" x14ac:dyDescent="0.2">
      <c r="B3" s="397" t="s">
        <v>65</v>
      </c>
      <c r="C3" s="397"/>
      <c r="D3" s="397"/>
      <c r="E3" s="397"/>
      <c r="F3" s="397"/>
      <c r="G3" s="397"/>
      <c r="H3" s="397"/>
    </row>
    <row r="4" spans="1:9" x14ac:dyDescent="0.2">
      <c r="B4" s="105"/>
      <c r="C4" s="105"/>
      <c r="D4" s="105"/>
      <c r="E4" s="105"/>
      <c r="F4" s="105"/>
      <c r="G4" s="105"/>
      <c r="H4" s="105"/>
    </row>
    <row r="5" spans="1:9" x14ac:dyDescent="0.2">
      <c r="B5" s="398" t="s">
        <v>0</v>
      </c>
      <c r="C5" s="398"/>
      <c r="D5" s="398"/>
      <c r="E5" s="398"/>
      <c r="F5" s="398"/>
      <c r="G5" s="398"/>
      <c r="H5" s="105"/>
    </row>
    <row r="6" spans="1:9" x14ac:dyDescent="0.2">
      <c r="B6" s="25"/>
      <c r="C6" s="25"/>
    </row>
    <row r="7" spans="1:9" x14ac:dyDescent="0.2">
      <c r="A7" s="16">
        <v>1</v>
      </c>
      <c r="B7" s="106" t="s">
        <v>15</v>
      </c>
      <c r="C7" s="107">
        <f>'910.00'!D8</f>
        <v>111111111111</v>
      </c>
    </row>
    <row r="8" spans="1:9" ht="13.5" thickBot="1" x14ac:dyDescent="0.25">
      <c r="A8" s="16">
        <v>2</v>
      </c>
      <c r="B8" s="106" t="s">
        <v>66</v>
      </c>
      <c r="C8" s="106"/>
      <c r="D8" s="106"/>
      <c r="E8" s="25"/>
      <c r="F8" s="159">
        <f>'910.00'!L12</f>
        <v>1</v>
      </c>
      <c r="G8" s="160" t="s">
        <v>12</v>
      </c>
      <c r="H8" s="160">
        <f>'910.00'!O12</f>
        <v>2021</v>
      </c>
    </row>
    <row r="9" spans="1:9" x14ac:dyDescent="0.2">
      <c r="B9" s="25"/>
      <c r="C9" s="25"/>
      <c r="D9" s="25"/>
      <c r="E9" s="25"/>
    </row>
    <row r="10" spans="1:9" ht="18.75" customHeight="1" x14ac:dyDescent="0.2"/>
    <row r="12" spans="1:9" ht="25.5" x14ac:dyDescent="0.2">
      <c r="A12" s="34"/>
      <c r="B12" s="108" t="s">
        <v>58</v>
      </c>
      <c r="C12" s="1" t="s">
        <v>59</v>
      </c>
      <c r="D12" s="1" t="s">
        <v>60</v>
      </c>
      <c r="E12" s="1" t="s">
        <v>61</v>
      </c>
      <c r="I12" s="109"/>
    </row>
    <row r="13" spans="1:9" ht="15" customHeight="1" x14ac:dyDescent="0.2">
      <c r="A13" s="34"/>
      <c r="B13" s="110">
        <v>1</v>
      </c>
      <c r="C13" s="2">
        <v>2</v>
      </c>
      <c r="D13" s="2">
        <v>3</v>
      </c>
      <c r="E13" s="2">
        <v>4</v>
      </c>
    </row>
    <row r="14" spans="1:9" x14ac:dyDescent="0.2">
      <c r="A14" s="34">
        <v>1</v>
      </c>
      <c r="B14" s="111" t="s">
        <v>95</v>
      </c>
      <c r="C14" s="112"/>
      <c r="D14" s="112"/>
      <c r="E14" s="112"/>
    </row>
    <row r="15" spans="1:9" x14ac:dyDescent="0.2">
      <c r="A15" s="34">
        <v>2</v>
      </c>
      <c r="B15" s="111" t="s">
        <v>96</v>
      </c>
      <c r="C15" s="112"/>
      <c r="D15" s="112"/>
      <c r="E15" s="112"/>
    </row>
    <row r="16" spans="1:9" x14ac:dyDescent="0.2">
      <c r="A16" s="34">
        <v>2</v>
      </c>
      <c r="B16" s="111" t="s">
        <v>97</v>
      </c>
      <c r="C16" s="112"/>
      <c r="D16" s="112"/>
      <c r="E16" s="112"/>
    </row>
    <row r="17" spans="1:5" x14ac:dyDescent="0.2">
      <c r="A17" s="34">
        <v>4</v>
      </c>
      <c r="B17" s="111" t="s">
        <v>98</v>
      </c>
      <c r="C17" s="112"/>
      <c r="D17" s="112"/>
      <c r="E17" s="112"/>
    </row>
    <row r="18" spans="1:5" x14ac:dyDescent="0.2">
      <c r="A18" s="34">
        <v>5</v>
      </c>
      <c r="B18" s="111" t="s">
        <v>99</v>
      </c>
      <c r="C18" s="112"/>
      <c r="D18" s="112"/>
      <c r="E18" s="112"/>
    </row>
    <row r="19" spans="1:5" x14ac:dyDescent="0.2">
      <c r="A19" s="34">
        <v>6</v>
      </c>
      <c r="B19" s="111" t="s">
        <v>100</v>
      </c>
      <c r="C19" s="112">
        <v>54458000</v>
      </c>
      <c r="D19" s="112">
        <v>2500000</v>
      </c>
      <c r="E19" s="112"/>
    </row>
    <row r="20" spans="1:5" x14ac:dyDescent="0.2">
      <c r="A20" s="34">
        <v>13</v>
      </c>
      <c r="B20" s="113" t="s">
        <v>13</v>
      </c>
      <c r="C20" s="101">
        <f>SUM(C14:C19)</f>
        <v>54458000</v>
      </c>
      <c r="D20" s="101">
        <f>SUM(D14:D19)</f>
        <v>2500000</v>
      </c>
      <c r="E20" s="101">
        <f>SUM(E14:E19)</f>
        <v>0</v>
      </c>
    </row>
    <row r="21" spans="1:5" x14ac:dyDescent="0.2">
      <c r="A21" s="34">
        <v>14</v>
      </c>
      <c r="B21" s="113" t="s">
        <v>13</v>
      </c>
      <c r="C21" s="102">
        <f>C20+D20+E20</f>
        <v>56958000</v>
      </c>
      <c r="D21" s="103"/>
      <c r="E21" s="103"/>
    </row>
    <row r="22" spans="1:5" x14ac:dyDescent="0.2">
      <c r="A22" s="25"/>
      <c r="B22" s="114"/>
      <c r="C22" s="104"/>
      <c r="D22" s="104"/>
      <c r="E22" s="104"/>
    </row>
    <row r="23" spans="1:5" x14ac:dyDescent="0.2">
      <c r="A23" s="25"/>
      <c r="B23" s="114"/>
      <c r="C23" s="104"/>
      <c r="D23" s="104"/>
      <c r="E23" s="104"/>
    </row>
    <row r="24" spans="1:5" ht="24" customHeight="1" x14ac:dyDescent="0.2">
      <c r="A24" s="25"/>
      <c r="B24" s="115" t="s">
        <v>258</v>
      </c>
      <c r="C24" s="161">
        <f>24038*введ!C20</f>
        <v>70118846</v>
      </c>
      <c r="D24" s="104"/>
      <c r="E24" s="104" t="str">
        <f>IF(C21&lt;24038*введ!C20,"Может применять текущий налоговый режим","НЕОБХОДИМО СМЕНИТЬ НАЛОГОВЫЙ РЕЖИМ!!!!")</f>
        <v>Может применять текущий налоговый режим</v>
      </c>
    </row>
    <row r="25" spans="1:5" x14ac:dyDescent="0.2">
      <c r="A25" s="25"/>
      <c r="B25" s="114"/>
      <c r="C25" s="104"/>
      <c r="D25" s="104"/>
      <c r="E25" s="104"/>
    </row>
    <row r="26" spans="1:5" x14ac:dyDescent="0.2">
      <c r="A26" s="25"/>
      <c r="B26" s="114"/>
      <c r="C26" s="104"/>
      <c r="D26" s="104"/>
      <c r="E26" s="104"/>
    </row>
    <row r="27" spans="1:5" x14ac:dyDescent="0.2">
      <c r="A27" s="25"/>
      <c r="B27" s="114"/>
      <c r="C27" s="104"/>
      <c r="D27" s="104"/>
      <c r="E27" s="104"/>
    </row>
    <row r="28" spans="1:5" x14ac:dyDescent="0.2">
      <c r="B28" s="114"/>
      <c r="C28" s="25"/>
      <c r="D28" s="25"/>
      <c r="E28" s="25"/>
    </row>
    <row r="29" spans="1:5" x14ac:dyDescent="0.2">
      <c r="A29" s="114"/>
      <c r="B29" s="25"/>
      <c r="C29" s="25"/>
      <c r="D29" s="25"/>
    </row>
    <row r="30" spans="1:5" x14ac:dyDescent="0.2">
      <c r="A30" s="116" t="s">
        <v>62</v>
      </c>
      <c r="B30" s="117"/>
      <c r="C30" s="117"/>
      <c r="D30" s="117"/>
    </row>
    <row r="32" spans="1:5" x14ac:dyDescent="0.2">
      <c r="A32" s="22"/>
      <c r="B32" s="22"/>
      <c r="C32" s="22"/>
      <c r="D32" s="22"/>
    </row>
    <row r="33" spans="1:6" x14ac:dyDescent="0.2">
      <c r="A33" s="36" t="s">
        <v>63</v>
      </c>
    </row>
    <row r="35" spans="1:6" x14ac:dyDescent="0.2">
      <c r="A35" s="395"/>
      <c r="B35" s="396"/>
      <c r="C35" s="396"/>
    </row>
    <row r="36" spans="1:6" x14ac:dyDescent="0.2">
      <c r="A36" s="36" t="s">
        <v>64</v>
      </c>
    </row>
    <row r="39" spans="1:6" x14ac:dyDescent="0.2">
      <c r="A39" s="399" t="s">
        <v>10</v>
      </c>
      <c r="B39" s="399"/>
      <c r="C39" s="400" t="s">
        <v>374</v>
      </c>
      <c r="D39" s="400"/>
      <c r="E39" s="400"/>
      <c r="F39" s="400"/>
    </row>
  </sheetData>
  <mergeCells count="5">
    <mergeCell ref="A35:C35"/>
    <mergeCell ref="B3:H3"/>
    <mergeCell ref="B5:G5"/>
    <mergeCell ref="A39:B39"/>
    <mergeCell ref="C39:F39"/>
  </mergeCells>
  <phoneticPr fontId="1" type="noConversion"/>
  <pageMargins left="0.75" right="0.75" top="1" bottom="1" header="0.5" footer="0.5"/>
  <pageSetup paperSize="9" orientation="landscape" verticalDpi="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4"/>
  <dimension ref="A1:AF39"/>
  <sheetViews>
    <sheetView topLeftCell="A13" workbookViewId="0">
      <pane xSplit="2" ySplit="1" topLeftCell="C14" activePane="bottomRight" state="frozen"/>
      <selection activeCell="A13" sqref="A13"/>
      <selection pane="topRight" activeCell="C13" sqref="C13"/>
      <selection pane="bottomLeft" activeCell="A14" sqref="A14"/>
      <selection pane="bottomRight" activeCell="C13" sqref="C13"/>
    </sheetView>
  </sheetViews>
  <sheetFormatPr defaultColWidth="8.7109375" defaultRowHeight="12.75" x14ac:dyDescent="0.2"/>
  <cols>
    <col min="1" max="1" width="5.85546875" style="16" customWidth="1"/>
    <col min="2" max="2" width="30.28515625" style="16" customWidth="1"/>
    <col min="3" max="3" width="19" style="16" customWidth="1"/>
    <col min="4" max="4" width="13.7109375" style="16" customWidth="1"/>
    <col min="5" max="5" width="15.5703125" style="16" customWidth="1"/>
    <col min="6" max="6" width="11.140625" style="16" customWidth="1"/>
    <col min="7" max="7" width="10.28515625" style="16" customWidth="1"/>
    <col min="8" max="8" width="8.7109375" style="16" bestFit="1" customWidth="1"/>
    <col min="9" max="9" width="13.28515625" style="16" bestFit="1" customWidth="1"/>
    <col min="10" max="10" width="13.5703125" style="16" customWidth="1"/>
    <col min="11" max="11" width="11" style="16" customWidth="1"/>
    <col min="12" max="12" width="12.85546875" style="16" customWidth="1"/>
    <col min="13" max="13" width="13.140625" style="16" customWidth="1"/>
    <col min="14" max="14" width="11.5703125" style="16" customWidth="1"/>
    <col min="15" max="16" width="12.5703125" style="16" customWidth="1"/>
    <col min="17" max="17" width="10.42578125" style="16" customWidth="1"/>
    <col min="18" max="18" width="13.7109375" style="16" customWidth="1"/>
    <col min="19" max="19" width="15.42578125" style="16" customWidth="1"/>
    <col min="20" max="20" width="16" style="16" customWidth="1"/>
    <col min="21" max="21" width="14.85546875" style="16" customWidth="1"/>
    <col min="22" max="22" width="13" style="16" customWidth="1"/>
    <col min="23" max="25" width="13.28515625" style="16" customWidth="1"/>
    <col min="26" max="29" width="12" style="16" customWidth="1"/>
    <col min="30" max="30" width="13.28515625" style="16" bestFit="1" customWidth="1"/>
    <col min="31" max="31" width="13.7109375" style="16" customWidth="1"/>
    <col min="32" max="32" width="13.140625" style="16" bestFit="1" customWidth="1"/>
    <col min="33" max="16384" width="8.7109375" style="16"/>
  </cols>
  <sheetData>
    <row r="1" spans="1:32" x14ac:dyDescent="0.2">
      <c r="M1" s="18"/>
      <c r="N1" s="18"/>
      <c r="V1" s="17" t="s">
        <v>14</v>
      </c>
    </row>
    <row r="2" spans="1:32" x14ac:dyDescent="0.2">
      <c r="A2" s="20"/>
      <c r="B2" s="20"/>
      <c r="C2" s="20"/>
      <c r="D2" s="20"/>
      <c r="E2" s="20"/>
      <c r="F2" s="20"/>
      <c r="G2" s="20"/>
    </row>
    <row r="3" spans="1:32" x14ac:dyDescent="0.2">
      <c r="A3" s="20"/>
      <c r="B3" s="20"/>
      <c r="C3" s="20"/>
      <c r="D3" s="20"/>
      <c r="E3" s="20"/>
      <c r="F3" s="20"/>
      <c r="G3" s="20"/>
    </row>
    <row r="4" spans="1:32" x14ac:dyDescent="0.2">
      <c r="A4" s="21" t="s">
        <v>67</v>
      </c>
      <c r="B4" s="22"/>
      <c r="C4" s="22"/>
      <c r="D4" s="21"/>
      <c r="E4" s="21"/>
      <c r="F4" s="106"/>
      <c r="G4" s="106"/>
    </row>
    <row r="6" spans="1:32" x14ac:dyDescent="0.2">
      <c r="A6" s="16">
        <v>1</v>
      </c>
      <c r="B6" s="21" t="s">
        <v>68</v>
      </c>
      <c r="C6" s="21"/>
      <c r="D6" s="21"/>
      <c r="E6" s="21"/>
      <c r="F6" s="106"/>
      <c r="G6" s="106"/>
    </row>
    <row r="7" spans="1:32" x14ac:dyDescent="0.2">
      <c r="A7" s="16">
        <v>2</v>
      </c>
      <c r="B7" s="23" t="s">
        <v>15</v>
      </c>
      <c r="C7" s="23"/>
      <c r="D7" s="23"/>
      <c r="E7" s="24">
        <f>'910.00'!D8</f>
        <v>111111111111</v>
      </c>
      <c r="F7" s="118"/>
      <c r="G7" s="118"/>
    </row>
    <row r="8" spans="1:32" x14ac:dyDescent="0.2">
      <c r="A8" s="16">
        <v>3</v>
      </c>
      <c r="B8" s="21" t="s">
        <v>90</v>
      </c>
      <c r="C8" s="21"/>
      <c r="D8" s="21"/>
      <c r="E8" s="21" t="str">
        <f>IF('910.00'!L12=1,"январь","июль")</f>
        <v>январь</v>
      </c>
      <c r="F8" s="106"/>
      <c r="G8" s="106"/>
      <c r="H8" s="16">
        <f>'910.00'!O12</f>
        <v>2021</v>
      </c>
    </row>
    <row r="9" spans="1:32" x14ac:dyDescent="0.2">
      <c r="A9" s="25"/>
      <c r="B9" s="25"/>
      <c r="C9" s="25"/>
      <c r="D9" s="25"/>
      <c r="E9" s="25"/>
      <c r="F9" s="25"/>
      <c r="G9" s="25"/>
    </row>
    <row r="10" spans="1:32" ht="43.5" customHeight="1" x14ac:dyDescent="0.2">
      <c r="A10" s="401" t="s">
        <v>163</v>
      </c>
      <c r="B10" s="401"/>
      <c r="C10" s="401"/>
      <c r="D10" s="401"/>
      <c r="E10" s="401"/>
      <c r="F10" s="401"/>
      <c r="G10" s="401"/>
      <c r="H10" s="401"/>
    </row>
    <row r="11" spans="1:32" x14ac:dyDescent="0.2">
      <c r="A11" s="25"/>
      <c r="B11" s="25"/>
      <c r="C11" s="25"/>
      <c r="D11" s="25"/>
      <c r="E11" s="25"/>
      <c r="F11" s="25"/>
      <c r="G11" s="25"/>
    </row>
    <row r="12" spans="1:32" x14ac:dyDescent="0.2">
      <c r="A12" s="25"/>
      <c r="B12" s="25"/>
      <c r="C12" s="25"/>
      <c r="D12" s="25"/>
      <c r="E12" s="25"/>
      <c r="F12" s="25"/>
      <c r="G12" s="25"/>
    </row>
    <row r="13" spans="1:32" ht="127.5" x14ac:dyDescent="0.2">
      <c r="A13" s="13" t="s">
        <v>69</v>
      </c>
      <c r="B13" s="13" t="s">
        <v>70</v>
      </c>
      <c r="C13" s="13" t="s">
        <v>376</v>
      </c>
      <c r="D13" s="13" t="s">
        <v>71</v>
      </c>
      <c r="E13" s="13" t="s">
        <v>196</v>
      </c>
      <c r="F13" s="13" t="s">
        <v>195</v>
      </c>
      <c r="G13" s="13" t="s">
        <v>261</v>
      </c>
      <c r="H13" s="13" t="s">
        <v>194</v>
      </c>
      <c r="I13" s="13" t="s">
        <v>259</v>
      </c>
      <c r="J13" s="13" t="s">
        <v>74</v>
      </c>
      <c r="K13" s="13" t="s">
        <v>129</v>
      </c>
      <c r="L13" s="13" t="s">
        <v>130</v>
      </c>
      <c r="M13" s="13" t="s">
        <v>75</v>
      </c>
      <c r="N13" s="13" t="s">
        <v>76</v>
      </c>
      <c r="O13" s="13" t="s">
        <v>101</v>
      </c>
      <c r="P13" s="13" t="s">
        <v>77</v>
      </c>
      <c r="Q13" s="13" t="s">
        <v>78</v>
      </c>
      <c r="R13" s="13" t="s">
        <v>79</v>
      </c>
      <c r="S13" s="13" t="s">
        <v>190</v>
      </c>
      <c r="T13" s="13" t="s">
        <v>81</v>
      </c>
      <c r="U13" s="13" t="s">
        <v>91</v>
      </c>
      <c r="V13" s="13" t="s">
        <v>92</v>
      </c>
      <c r="W13" s="13" t="s">
        <v>93</v>
      </c>
      <c r="X13" s="13" t="s">
        <v>118</v>
      </c>
      <c r="Y13" s="13"/>
      <c r="Z13" s="13" t="s">
        <v>176</v>
      </c>
      <c r="AA13" s="13" t="s">
        <v>119</v>
      </c>
      <c r="AB13" s="13" t="s">
        <v>121</v>
      </c>
      <c r="AC13" s="13" t="s">
        <v>191</v>
      </c>
      <c r="AD13" s="13" t="s">
        <v>126</v>
      </c>
      <c r="AE13" s="13" t="s">
        <v>254</v>
      </c>
      <c r="AF13" s="13" t="s">
        <v>255</v>
      </c>
    </row>
    <row r="14" spans="1:32" x14ac:dyDescent="0.2">
      <c r="A14" s="26">
        <v>1</v>
      </c>
      <c r="B14" s="26" t="s">
        <v>371</v>
      </c>
      <c r="C14" s="28">
        <v>1</v>
      </c>
      <c r="D14" s="30">
        <v>250000</v>
      </c>
      <c r="E14" s="29">
        <f>IF(C14&gt;=3,0,IF((D14-P14)&gt;введ!C$11,введ!C$11,IF((D14-P14)&lt;=введ!C$11,D14-P14,0)))</f>
        <v>42500</v>
      </c>
      <c r="F14" s="29">
        <f>IF(AC14&gt;0,AC14,0)</f>
        <v>5000</v>
      </c>
      <c r="G14" s="30"/>
      <c r="H14" s="30"/>
      <c r="I14" s="30"/>
      <c r="J14" s="33">
        <f>IF(C14&gt;=3,D14-I14,D14-I14-E14-P14-F14-H14-G14)</f>
        <v>177500</v>
      </c>
      <c r="K14" s="11">
        <f>IF(C14=0,0,IF(C14&gt;1,0,IF(D14&lt;=введ!C$20*25,J14/100,J14/10)))</f>
        <v>17750</v>
      </c>
      <c r="L14" s="11">
        <f>IF(C14=0,0,IF(C14=1,0,IF(C14&gt;=3,J14/10,IF(C14=2,IF(D14&lt;=введ!C$20*25,J14/100,J14/10)))))</f>
        <v>0</v>
      </c>
      <c r="M14" s="30"/>
      <c r="N14" s="33">
        <f t="shared" ref="N14:N25" si="0">IF(C14=3,0,IF(O14=1,0,D14-M14))</f>
        <v>250000</v>
      </c>
      <c r="O14" s="30"/>
      <c r="P14" s="33">
        <f>N14*10%</f>
        <v>25000</v>
      </c>
      <c r="Q14" s="30"/>
      <c r="R14" s="33">
        <f t="shared" ref="R14:R25" si="1">IF(C14=3,0,IF(O14=1,0,D14-P14-Q14))</f>
        <v>225000</v>
      </c>
      <c r="S14" s="33">
        <f>IF(OR(R14&lt;=0,),0,MIN(MAX(введ!$C$11,R14),введ!$C$14))</f>
        <v>225000</v>
      </c>
      <c r="T14" s="33">
        <f>ROUND(S14*введ!C$15,0)</f>
        <v>7875</v>
      </c>
      <c r="U14" s="30"/>
      <c r="V14" s="33">
        <f>ROUND(U14*0.05,0)</f>
        <v>0</v>
      </c>
      <c r="W14" s="34">
        <f t="shared" ref="W14:W25" si="2">IF(D14=0,0,1)</f>
        <v>1</v>
      </c>
      <c r="X14" s="30"/>
      <c r="Y14" s="10"/>
      <c r="Z14" s="33">
        <f t="shared" ref="Z14:Z25" si="3">IF(C14=3,0,IF(O14=1,0,D14-X14))</f>
        <v>250000</v>
      </c>
      <c r="AA14" s="33">
        <f>IF(OR(Z14&lt;=0,),0,MIN(MIN(введ!$C$17,Z14),введ!$C$17))</f>
        <v>250000</v>
      </c>
      <c r="AB14" s="33">
        <f>AA14*введ!C$18</f>
        <v>5000</v>
      </c>
      <c r="AC14" s="33">
        <f>AA14*введ!C$22</f>
        <v>5000</v>
      </c>
      <c r="AD14" s="33"/>
      <c r="AE14" s="33">
        <f>IF(C14=1,D14,0)</f>
        <v>250000</v>
      </c>
      <c r="AF14" s="33">
        <f>IF(C14&gt;1,D14,0)</f>
        <v>0</v>
      </c>
    </row>
    <row r="15" spans="1:32" x14ac:dyDescent="0.2">
      <c r="A15" s="26">
        <v>2</v>
      </c>
      <c r="B15" s="26" t="s">
        <v>372</v>
      </c>
      <c r="C15" s="28">
        <v>1</v>
      </c>
      <c r="D15" s="30">
        <v>180000</v>
      </c>
      <c r="E15" s="29">
        <f>IF(C15&gt;=3,0,IF((D15-P15)&gt;введ!C$11,введ!C$11,IF((D15-P15)&lt;=введ!C$11,D15-P15,0)))</f>
        <v>42500</v>
      </c>
      <c r="F15" s="29">
        <f t="shared" ref="F15:F25" si="4">IF(AC15&gt;0,AC15,0)</f>
        <v>3600</v>
      </c>
      <c r="G15" s="30"/>
      <c r="H15" s="30"/>
      <c r="I15" s="30"/>
      <c r="J15" s="33">
        <f t="shared" ref="J15:J25" si="5">IF(C15&gt;=3,D15-I15,D15-I15-E15-P15-F15-H15-G15)</f>
        <v>115900</v>
      </c>
      <c r="K15" s="11">
        <f>IF(C15=0,0,IF(C15&gt;1,0,IF(D15&lt;=введ!C$20*25,J15/100,J15/10)))</f>
        <v>11590</v>
      </c>
      <c r="L15" s="11">
        <f>IF(C15=0,0,IF(C15=1,0,IF(C15&gt;=3,J15/10,IF(C15=2,IF(D15&lt;=введ!C$20*25,J15/100,J15/10)))))</f>
        <v>0</v>
      </c>
      <c r="M15" s="30"/>
      <c r="N15" s="33">
        <f t="shared" si="0"/>
        <v>180000</v>
      </c>
      <c r="O15" s="30"/>
      <c r="P15" s="33">
        <f t="shared" ref="P15:P25" si="6">N15*10%</f>
        <v>18000</v>
      </c>
      <c r="Q15" s="30"/>
      <c r="R15" s="33">
        <f t="shared" si="1"/>
        <v>162000</v>
      </c>
      <c r="S15" s="33">
        <f>IF(OR(R15&lt;=0,),0,MIN(MAX(введ!$C$11,R15),введ!$C$14))</f>
        <v>162000</v>
      </c>
      <c r="T15" s="33">
        <f>ROUND(S15*введ!C$15,0)</f>
        <v>5670</v>
      </c>
      <c r="U15" s="30"/>
      <c r="V15" s="33">
        <f t="shared" ref="V15:V25" si="7">ROUND(U15*0.05,0)</f>
        <v>0</v>
      </c>
      <c r="W15" s="34">
        <f t="shared" si="2"/>
        <v>1</v>
      </c>
      <c r="X15" s="30"/>
      <c r="Y15" s="10"/>
      <c r="Z15" s="33">
        <f t="shared" si="3"/>
        <v>180000</v>
      </c>
      <c r="AA15" s="33">
        <f>IF(OR(Z15&lt;=0,),0,MIN(MIN(введ!$C$17,Z15),введ!$C$17))</f>
        <v>180000</v>
      </c>
      <c r="AB15" s="33">
        <f>AA15*введ!C$18</f>
        <v>3600</v>
      </c>
      <c r="AC15" s="33">
        <f>AA15*введ!C$22</f>
        <v>3600</v>
      </c>
      <c r="AD15" s="33"/>
      <c r="AE15" s="33">
        <f t="shared" ref="AE15:AE25" si="8">IF(C15=1,D15,0)</f>
        <v>180000</v>
      </c>
      <c r="AF15" s="33">
        <f t="shared" ref="AF15:AF25" si="9">IF(C15&gt;1,D15,0)</f>
        <v>0</v>
      </c>
    </row>
    <row r="16" spans="1:32" x14ac:dyDescent="0.2">
      <c r="A16" s="26">
        <v>3</v>
      </c>
      <c r="B16" s="26" t="s">
        <v>375</v>
      </c>
      <c r="C16" s="28">
        <v>3</v>
      </c>
      <c r="D16" s="30">
        <v>200000</v>
      </c>
      <c r="E16" s="29">
        <f>IF(C16&gt;=3,0,IF((D16-P16)&gt;введ!C$11,введ!C$11,IF((D16-P16)&lt;=введ!C$11,D16-P16,0)))</f>
        <v>0</v>
      </c>
      <c r="F16" s="29">
        <f t="shared" si="4"/>
        <v>0</v>
      </c>
      <c r="G16" s="30"/>
      <c r="H16" s="30"/>
      <c r="I16" s="30"/>
      <c r="J16" s="33">
        <f t="shared" si="5"/>
        <v>200000</v>
      </c>
      <c r="K16" s="11">
        <f>IF(C16=0,0,IF(C16&gt;1,0,IF(D16&lt;=введ!C$20*25,J16/100,J16/10)))</f>
        <v>0</v>
      </c>
      <c r="L16" s="11">
        <f>IF(C16=0,0,IF(C16=1,0,IF(C16&gt;=3,J16/10,IF(C16=2,IF(D16&lt;=введ!C$20*25,J16/100,J16/10)))))</f>
        <v>20000</v>
      </c>
      <c r="M16" s="30"/>
      <c r="N16" s="33">
        <f t="shared" si="0"/>
        <v>0</v>
      </c>
      <c r="O16" s="30"/>
      <c r="P16" s="33">
        <f t="shared" si="6"/>
        <v>0</v>
      </c>
      <c r="Q16" s="30"/>
      <c r="R16" s="33">
        <f t="shared" si="1"/>
        <v>0</v>
      </c>
      <c r="S16" s="33">
        <f>IF(OR(R16&lt;=0,),0,MIN(MAX(введ!$C$11,R16),введ!$C$14))</f>
        <v>0</v>
      </c>
      <c r="T16" s="33">
        <f>ROUND(S16*введ!C$15,0)</f>
        <v>0</v>
      </c>
      <c r="U16" s="30"/>
      <c r="V16" s="33">
        <f t="shared" si="7"/>
        <v>0</v>
      </c>
      <c r="W16" s="34">
        <f t="shared" si="2"/>
        <v>1</v>
      </c>
      <c r="X16" s="30"/>
      <c r="Y16" s="10"/>
      <c r="Z16" s="33">
        <f t="shared" si="3"/>
        <v>0</v>
      </c>
      <c r="AA16" s="33">
        <f>IF(OR(Z16&lt;=0,),0,MIN(MIN(введ!$C$17,Z16),введ!$C$17))</f>
        <v>0</v>
      </c>
      <c r="AB16" s="33">
        <f>AA16*введ!C$18</f>
        <v>0</v>
      </c>
      <c r="AC16" s="33">
        <f>AA16*введ!C$22</f>
        <v>0</v>
      </c>
      <c r="AD16" s="33"/>
      <c r="AE16" s="33">
        <f t="shared" si="8"/>
        <v>0</v>
      </c>
      <c r="AF16" s="33">
        <f t="shared" si="9"/>
        <v>200000</v>
      </c>
    </row>
    <row r="17" spans="1:32" x14ac:dyDescent="0.2">
      <c r="A17" s="26">
        <v>4</v>
      </c>
      <c r="B17" s="26"/>
      <c r="C17" s="28"/>
      <c r="D17" s="30"/>
      <c r="E17" s="29">
        <f>IF(C17&gt;=3,0,IF((D17-P17)&gt;введ!C$11,введ!C$11,IF((D17-P17)&lt;=введ!C$11,D17-P17,0)))</f>
        <v>0</v>
      </c>
      <c r="F17" s="29">
        <f t="shared" si="4"/>
        <v>0</v>
      </c>
      <c r="G17" s="30"/>
      <c r="H17" s="30"/>
      <c r="I17" s="30"/>
      <c r="J17" s="33">
        <f t="shared" si="5"/>
        <v>0</v>
      </c>
      <c r="K17" s="11">
        <f>IF(C17=0,0,IF(C17&gt;1,0,IF(D17&lt;=введ!C$20*25,J17/100,J17/10)))</f>
        <v>0</v>
      </c>
      <c r="L17" s="11">
        <f>IF(C17=0,0,IF(C17=1,0,IF(C17&gt;=3,J17/10,IF(C17=2,IF(D17&lt;=введ!C$20*25,J17/100,J17/10)))))</f>
        <v>0</v>
      </c>
      <c r="M17" s="30"/>
      <c r="N17" s="33">
        <f t="shared" si="0"/>
        <v>0</v>
      </c>
      <c r="O17" s="30"/>
      <c r="P17" s="33">
        <f t="shared" si="6"/>
        <v>0</v>
      </c>
      <c r="Q17" s="30"/>
      <c r="R17" s="33">
        <f t="shared" si="1"/>
        <v>0</v>
      </c>
      <c r="S17" s="33">
        <f>IF(OR(R17&lt;=0,),0,MIN(MAX(введ!$C$11,R17),введ!$C$14))</f>
        <v>0</v>
      </c>
      <c r="T17" s="33">
        <f>ROUND(S17*введ!C$15,0)</f>
        <v>0</v>
      </c>
      <c r="U17" s="30"/>
      <c r="V17" s="33">
        <f t="shared" si="7"/>
        <v>0</v>
      </c>
      <c r="W17" s="34">
        <f t="shared" si="2"/>
        <v>0</v>
      </c>
      <c r="X17" s="30"/>
      <c r="Y17" s="10"/>
      <c r="Z17" s="33">
        <f t="shared" si="3"/>
        <v>0</v>
      </c>
      <c r="AA17" s="33">
        <f>IF(OR(Z17&lt;=0,),0,MIN(MIN(введ!$C$17,Z17),введ!$C$17))</f>
        <v>0</v>
      </c>
      <c r="AB17" s="33">
        <f>AA17*введ!C$18</f>
        <v>0</v>
      </c>
      <c r="AC17" s="33">
        <f>AA17*введ!C$22</f>
        <v>0</v>
      </c>
      <c r="AD17" s="33"/>
      <c r="AE17" s="33">
        <f t="shared" si="8"/>
        <v>0</v>
      </c>
      <c r="AF17" s="33">
        <f t="shared" si="9"/>
        <v>0</v>
      </c>
    </row>
    <row r="18" spans="1:32" x14ac:dyDescent="0.2">
      <c r="A18" s="26">
        <v>5</v>
      </c>
      <c r="B18" s="26"/>
      <c r="C18" s="28"/>
      <c r="D18" s="30"/>
      <c r="E18" s="29">
        <f>IF(C18&gt;=3,0,IF((D18-P18)&gt;введ!C$11,введ!C$11,IF((D18-P18)&lt;=введ!C$11,D18-P18,0)))</f>
        <v>0</v>
      </c>
      <c r="F18" s="29">
        <f t="shared" si="4"/>
        <v>0</v>
      </c>
      <c r="G18" s="30"/>
      <c r="H18" s="30"/>
      <c r="I18" s="30"/>
      <c r="J18" s="33">
        <f t="shared" si="5"/>
        <v>0</v>
      </c>
      <c r="K18" s="11">
        <f>IF(C18=0,0,IF(C18&gt;1,0,IF(D18&lt;=введ!C$20*25,J18/100,J18/10)))</f>
        <v>0</v>
      </c>
      <c r="L18" s="11">
        <f>IF(C18=0,0,IF(C18=1,0,IF(C18&gt;=3,J18/10,IF(C18=2,IF(D18&lt;=введ!C$20*25,J18/100,J18/10)))))</f>
        <v>0</v>
      </c>
      <c r="M18" s="30"/>
      <c r="N18" s="33">
        <f t="shared" si="0"/>
        <v>0</v>
      </c>
      <c r="O18" s="30"/>
      <c r="P18" s="33">
        <f t="shared" si="6"/>
        <v>0</v>
      </c>
      <c r="Q18" s="30"/>
      <c r="R18" s="33">
        <f t="shared" si="1"/>
        <v>0</v>
      </c>
      <c r="S18" s="33">
        <f>IF(OR(R18&lt;=0,),0,MIN(MAX(введ!$C$11,R18),введ!$C$14))</f>
        <v>0</v>
      </c>
      <c r="T18" s="33">
        <f>ROUND(S18*введ!C$15,0)</f>
        <v>0</v>
      </c>
      <c r="U18" s="30"/>
      <c r="V18" s="33">
        <f t="shared" si="7"/>
        <v>0</v>
      </c>
      <c r="W18" s="34">
        <f t="shared" si="2"/>
        <v>0</v>
      </c>
      <c r="X18" s="30"/>
      <c r="Y18" s="10"/>
      <c r="Z18" s="33">
        <f t="shared" si="3"/>
        <v>0</v>
      </c>
      <c r="AA18" s="33">
        <f>IF(OR(Z18&lt;=0,),0,MIN(MIN(введ!$C$17,Z18),введ!$C$17))</f>
        <v>0</v>
      </c>
      <c r="AB18" s="33">
        <f>AA18*введ!C$18</f>
        <v>0</v>
      </c>
      <c r="AC18" s="33">
        <f>AA18*введ!C$22</f>
        <v>0</v>
      </c>
      <c r="AD18" s="33"/>
      <c r="AE18" s="33">
        <f t="shared" si="8"/>
        <v>0</v>
      </c>
      <c r="AF18" s="33">
        <f t="shared" si="9"/>
        <v>0</v>
      </c>
    </row>
    <row r="19" spans="1:32" x14ac:dyDescent="0.2">
      <c r="A19" s="26">
        <v>6</v>
      </c>
      <c r="B19" s="26"/>
      <c r="C19" s="28"/>
      <c r="D19" s="30"/>
      <c r="E19" s="29">
        <f>IF(C19&gt;=3,0,IF((D19-P19)&gt;введ!C$11,введ!C$11,IF((D19-P19)&lt;=введ!C$11,D19-P19,0)))</f>
        <v>0</v>
      </c>
      <c r="F19" s="29">
        <f t="shared" si="4"/>
        <v>0</v>
      </c>
      <c r="G19" s="30"/>
      <c r="H19" s="30"/>
      <c r="I19" s="30"/>
      <c r="J19" s="33">
        <f t="shared" si="5"/>
        <v>0</v>
      </c>
      <c r="K19" s="11">
        <f>IF(C19=0,0,IF(C19&gt;1,0,IF(D19&lt;=введ!C$20*25,J19/100,J19/10)))</f>
        <v>0</v>
      </c>
      <c r="L19" s="11">
        <f>IF(C19=0,0,IF(C19=1,0,IF(C19&gt;=3,J19/10,IF(C19=2,IF(D19&lt;=введ!C$20*25,J19/100,J19/10)))))</f>
        <v>0</v>
      </c>
      <c r="M19" s="30"/>
      <c r="N19" s="33">
        <f t="shared" si="0"/>
        <v>0</v>
      </c>
      <c r="O19" s="30"/>
      <c r="P19" s="33">
        <f t="shared" si="6"/>
        <v>0</v>
      </c>
      <c r="Q19" s="30"/>
      <c r="R19" s="33">
        <f t="shared" si="1"/>
        <v>0</v>
      </c>
      <c r="S19" s="33">
        <f>IF(OR(R19&lt;=0,),0,MIN(MAX(введ!$C$11,R19),введ!$C$14))</f>
        <v>0</v>
      </c>
      <c r="T19" s="33">
        <f>ROUND(S19*введ!C$15,0)</f>
        <v>0</v>
      </c>
      <c r="U19" s="30"/>
      <c r="V19" s="33">
        <f t="shared" si="7"/>
        <v>0</v>
      </c>
      <c r="W19" s="34">
        <f t="shared" si="2"/>
        <v>0</v>
      </c>
      <c r="X19" s="30"/>
      <c r="Y19" s="10"/>
      <c r="Z19" s="33">
        <f t="shared" si="3"/>
        <v>0</v>
      </c>
      <c r="AA19" s="33">
        <f>IF(OR(Z19&lt;=0,),0,MIN(MIN(введ!$C$17,Z19),введ!$C$17))</f>
        <v>0</v>
      </c>
      <c r="AB19" s="33">
        <f>AA19*введ!C$18</f>
        <v>0</v>
      </c>
      <c r="AC19" s="33">
        <f>AA19*введ!C$22</f>
        <v>0</v>
      </c>
      <c r="AD19" s="33"/>
      <c r="AE19" s="33">
        <f t="shared" si="8"/>
        <v>0</v>
      </c>
      <c r="AF19" s="33">
        <f t="shared" si="9"/>
        <v>0</v>
      </c>
    </row>
    <row r="20" spans="1:32" x14ac:dyDescent="0.2">
      <c r="A20" s="26">
        <v>7</v>
      </c>
      <c r="B20" s="26"/>
      <c r="C20" s="28"/>
      <c r="D20" s="30"/>
      <c r="E20" s="29">
        <f>IF(C20&gt;=3,0,IF((D20-P20)&gt;введ!C$11,введ!C$11,IF((D20-P20)&lt;=введ!C$11,D20-P20,0)))</f>
        <v>0</v>
      </c>
      <c r="F20" s="29">
        <f t="shared" si="4"/>
        <v>0</v>
      </c>
      <c r="G20" s="30"/>
      <c r="H20" s="30"/>
      <c r="I20" s="30"/>
      <c r="J20" s="33">
        <f t="shared" si="5"/>
        <v>0</v>
      </c>
      <c r="K20" s="11">
        <f>IF(C20=0,0,IF(C20&gt;1,0,IF(D20&lt;=введ!C$20*25,J20/100,J20/10)))</f>
        <v>0</v>
      </c>
      <c r="L20" s="11">
        <f>IF(C20=0,0,IF(C20=1,0,IF(C20&gt;=3,J20/10,IF(C20=2,IF(D20&lt;=введ!C$20*25,J20/100,J20/10)))))</f>
        <v>0</v>
      </c>
      <c r="M20" s="30"/>
      <c r="N20" s="33">
        <f t="shared" si="0"/>
        <v>0</v>
      </c>
      <c r="O20" s="30"/>
      <c r="P20" s="33">
        <f t="shared" si="6"/>
        <v>0</v>
      </c>
      <c r="Q20" s="30"/>
      <c r="R20" s="33">
        <f t="shared" si="1"/>
        <v>0</v>
      </c>
      <c r="S20" s="33">
        <f>IF(OR(R20&lt;=0,),0,MIN(MAX(введ!$C$11,R20),введ!$C$14))</f>
        <v>0</v>
      </c>
      <c r="T20" s="33">
        <f>ROUND(S20*введ!C$15,0)</f>
        <v>0</v>
      </c>
      <c r="U20" s="30"/>
      <c r="V20" s="33">
        <f t="shared" si="7"/>
        <v>0</v>
      </c>
      <c r="W20" s="34">
        <f t="shared" si="2"/>
        <v>0</v>
      </c>
      <c r="X20" s="30"/>
      <c r="Y20" s="10"/>
      <c r="Z20" s="33">
        <f t="shared" si="3"/>
        <v>0</v>
      </c>
      <c r="AA20" s="33">
        <f>IF(OR(Z20&lt;=0,),0,MIN(MIN(введ!$C$17,Z20),введ!$C$17))</f>
        <v>0</v>
      </c>
      <c r="AB20" s="33">
        <f>AA20*введ!C$18</f>
        <v>0</v>
      </c>
      <c r="AC20" s="33">
        <f>AA20*введ!C$22</f>
        <v>0</v>
      </c>
      <c r="AD20" s="33"/>
      <c r="AE20" s="33">
        <f t="shared" si="8"/>
        <v>0</v>
      </c>
      <c r="AF20" s="33">
        <f t="shared" si="9"/>
        <v>0</v>
      </c>
    </row>
    <row r="21" spans="1:32" x14ac:dyDescent="0.2">
      <c r="A21" s="26">
        <v>8</v>
      </c>
      <c r="B21" s="26"/>
      <c r="C21" s="28"/>
      <c r="D21" s="30"/>
      <c r="E21" s="29">
        <f>IF(C21&gt;=3,0,IF((D21-P21)&gt;введ!C$11,введ!C$11,IF((D21-P21)&lt;=введ!C$11,D21-P21,0)))</f>
        <v>0</v>
      </c>
      <c r="F21" s="29">
        <f t="shared" si="4"/>
        <v>0</v>
      </c>
      <c r="G21" s="30"/>
      <c r="H21" s="30"/>
      <c r="I21" s="30"/>
      <c r="J21" s="33">
        <f t="shared" si="5"/>
        <v>0</v>
      </c>
      <c r="K21" s="11">
        <f>IF(C21=0,0,IF(C21&gt;1,0,IF(D21&lt;=введ!C$20*25,J21/100,J21/10)))</f>
        <v>0</v>
      </c>
      <c r="L21" s="11">
        <f>IF(C21=0,0,IF(C21=1,0,IF(C21&gt;=3,J21/10,IF(C21=2,IF(D21&lt;=введ!C$20*25,J21/100,J21/10)))))</f>
        <v>0</v>
      </c>
      <c r="M21" s="30"/>
      <c r="N21" s="33">
        <f t="shared" si="0"/>
        <v>0</v>
      </c>
      <c r="O21" s="30"/>
      <c r="P21" s="33">
        <f t="shared" si="6"/>
        <v>0</v>
      </c>
      <c r="Q21" s="30"/>
      <c r="R21" s="33">
        <f t="shared" si="1"/>
        <v>0</v>
      </c>
      <c r="S21" s="33">
        <f>IF(OR(R21&lt;=0,),0,MIN(MAX(введ!$C$11,R21),введ!$C$14))</f>
        <v>0</v>
      </c>
      <c r="T21" s="33">
        <f>ROUND(S21*введ!C$15,0)</f>
        <v>0</v>
      </c>
      <c r="U21" s="30"/>
      <c r="V21" s="33">
        <f t="shared" si="7"/>
        <v>0</v>
      </c>
      <c r="W21" s="34">
        <f t="shared" si="2"/>
        <v>0</v>
      </c>
      <c r="X21" s="30"/>
      <c r="Y21" s="10"/>
      <c r="Z21" s="33">
        <f t="shared" si="3"/>
        <v>0</v>
      </c>
      <c r="AA21" s="33">
        <f>IF(OR(Z21&lt;=0,),0,MIN(MIN(введ!$C$17,Z21),введ!$C$17))</f>
        <v>0</v>
      </c>
      <c r="AB21" s="33">
        <f>AA21*введ!C$18</f>
        <v>0</v>
      </c>
      <c r="AC21" s="33">
        <f>AA21*введ!C$22</f>
        <v>0</v>
      </c>
      <c r="AD21" s="33"/>
      <c r="AE21" s="33">
        <f t="shared" si="8"/>
        <v>0</v>
      </c>
      <c r="AF21" s="33">
        <f t="shared" si="9"/>
        <v>0</v>
      </c>
    </row>
    <row r="22" spans="1:32" x14ac:dyDescent="0.2">
      <c r="A22" s="26">
        <v>9</v>
      </c>
      <c r="B22" s="26"/>
      <c r="C22" s="28"/>
      <c r="D22" s="30"/>
      <c r="E22" s="29">
        <f>IF(C22&gt;=3,0,IF((D22-P22)&gt;введ!C$11,введ!C$11,IF((D22-P22)&lt;=введ!C$11,D22-P22,0)))</f>
        <v>0</v>
      </c>
      <c r="F22" s="29">
        <f t="shared" si="4"/>
        <v>0</v>
      </c>
      <c r="G22" s="30"/>
      <c r="H22" s="30"/>
      <c r="I22" s="30"/>
      <c r="J22" s="33">
        <f t="shared" si="5"/>
        <v>0</v>
      </c>
      <c r="K22" s="11">
        <f>IF(C22=0,0,IF(C22&gt;1,0,IF(D22&lt;=введ!C$20*25,J22/100,J22/10)))</f>
        <v>0</v>
      </c>
      <c r="L22" s="11">
        <f>IF(C22=0,0,IF(C22=1,0,IF(C22&gt;=3,J22/10,IF(C22=2,IF(D22&lt;=введ!C$20*25,J22/100,J22/10)))))</f>
        <v>0</v>
      </c>
      <c r="M22" s="30"/>
      <c r="N22" s="33">
        <f t="shared" si="0"/>
        <v>0</v>
      </c>
      <c r="O22" s="30"/>
      <c r="P22" s="33">
        <f t="shared" si="6"/>
        <v>0</v>
      </c>
      <c r="Q22" s="30"/>
      <c r="R22" s="33">
        <f t="shared" si="1"/>
        <v>0</v>
      </c>
      <c r="S22" s="33">
        <f>IF(OR(R22&lt;=0,),0,MIN(MAX(введ!$C$11,R22),введ!$C$14))</f>
        <v>0</v>
      </c>
      <c r="T22" s="33">
        <f>ROUND(S22*введ!C$15,0)</f>
        <v>0</v>
      </c>
      <c r="U22" s="30"/>
      <c r="V22" s="33">
        <f t="shared" si="7"/>
        <v>0</v>
      </c>
      <c r="W22" s="34">
        <f t="shared" si="2"/>
        <v>0</v>
      </c>
      <c r="X22" s="30"/>
      <c r="Y22" s="10"/>
      <c r="Z22" s="33">
        <f t="shared" si="3"/>
        <v>0</v>
      </c>
      <c r="AA22" s="33">
        <f>IF(OR(Z22&lt;=0,),0,MIN(MIN(введ!$C$17,Z22),введ!$C$17))</f>
        <v>0</v>
      </c>
      <c r="AB22" s="33">
        <f>AA22*введ!C$18</f>
        <v>0</v>
      </c>
      <c r="AC22" s="33">
        <f>AA22*введ!C$22</f>
        <v>0</v>
      </c>
      <c r="AD22" s="33"/>
      <c r="AE22" s="33">
        <f t="shared" si="8"/>
        <v>0</v>
      </c>
      <c r="AF22" s="33">
        <f t="shared" si="9"/>
        <v>0</v>
      </c>
    </row>
    <row r="23" spans="1:32" x14ac:dyDescent="0.2">
      <c r="A23" s="26">
        <v>10</v>
      </c>
      <c r="B23" s="26"/>
      <c r="C23" s="28"/>
      <c r="D23" s="30"/>
      <c r="E23" s="29">
        <f>IF(C23&gt;=3,0,IF((D23-P23)&gt;введ!C$11,введ!C$11,IF((D23-P23)&lt;=введ!C$11,D23-P23,0)))</f>
        <v>0</v>
      </c>
      <c r="F23" s="29">
        <f t="shared" si="4"/>
        <v>0</v>
      </c>
      <c r="G23" s="30"/>
      <c r="H23" s="30"/>
      <c r="I23" s="30"/>
      <c r="J23" s="33">
        <f t="shared" si="5"/>
        <v>0</v>
      </c>
      <c r="K23" s="11">
        <f>IF(C23=0,0,IF(C23&gt;1,0,IF(D23&lt;=введ!C$20*25,J23/100,J23/10)))</f>
        <v>0</v>
      </c>
      <c r="L23" s="11">
        <f>IF(C23=0,0,IF(C23=1,0,IF(C23&gt;=3,J23/10,IF(C23=2,IF(D23&lt;=введ!C$20*25,J23/100,J23/10)))))</f>
        <v>0</v>
      </c>
      <c r="M23" s="30"/>
      <c r="N23" s="33">
        <f t="shared" si="0"/>
        <v>0</v>
      </c>
      <c r="O23" s="30"/>
      <c r="P23" s="33">
        <f t="shared" si="6"/>
        <v>0</v>
      </c>
      <c r="Q23" s="30"/>
      <c r="R23" s="33">
        <f t="shared" si="1"/>
        <v>0</v>
      </c>
      <c r="S23" s="33">
        <f>IF(OR(R23&lt;=0,),0,MIN(MAX(введ!$C$11,R23),введ!$C$14))</f>
        <v>0</v>
      </c>
      <c r="T23" s="33">
        <f>ROUND(S23*введ!C$15,0)</f>
        <v>0</v>
      </c>
      <c r="U23" s="30"/>
      <c r="V23" s="33">
        <f t="shared" si="7"/>
        <v>0</v>
      </c>
      <c r="W23" s="34">
        <f t="shared" si="2"/>
        <v>0</v>
      </c>
      <c r="X23" s="30"/>
      <c r="Y23" s="10"/>
      <c r="Z23" s="33">
        <f t="shared" si="3"/>
        <v>0</v>
      </c>
      <c r="AA23" s="33">
        <f>IF(OR(Z23&lt;=0,),0,MIN(MIN(введ!$C$17,Z23),введ!$C$17))</f>
        <v>0</v>
      </c>
      <c r="AB23" s="33">
        <f>AA23*введ!C$18</f>
        <v>0</v>
      </c>
      <c r="AC23" s="33">
        <f>AA23*введ!C$22</f>
        <v>0</v>
      </c>
      <c r="AD23" s="33"/>
      <c r="AE23" s="33">
        <f t="shared" si="8"/>
        <v>0</v>
      </c>
      <c r="AF23" s="33">
        <f t="shared" si="9"/>
        <v>0</v>
      </c>
    </row>
    <row r="24" spans="1:32" x14ac:dyDescent="0.2">
      <c r="A24" s="26">
        <v>11</v>
      </c>
      <c r="B24" s="26"/>
      <c r="C24" s="28"/>
      <c r="D24" s="30"/>
      <c r="E24" s="29">
        <f>IF(C24&gt;=3,0,IF((D24-P24)&gt;введ!C$11,введ!C$11,IF((D24-P24)&lt;=введ!C$11,D24-P24,0)))</f>
        <v>0</v>
      </c>
      <c r="F24" s="29">
        <f t="shared" si="4"/>
        <v>0</v>
      </c>
      <c r="G24" s="30"/>
      <c r="H24" s="30"/>
      <c r="I24" s="30"/>
      <c r="J24" s="33">
        <f t="shared" si="5"/>
        <v>0</v>
      </c>
      <c r="K24" s="11">
        <f>IF(C24=0,0,IF(C24&gt;1,0,IF(D24&lt;=введ!C$20*25,J24/100,J24/10)))</f>
        <v>0</v>
      </c>
      <c r="L24" s="11">
        <f>IF(C24=0,0,IF(C24=1,0,IF(C24&gt;=3,J24/10,IF(C24=2,IF(D24&lt;=введ!C$20*25,J24/100,J24/10)))))</f>
        <v>0</v>
      </c>
      <c r="M24" s="30"/>
      <c r="N24" s="33">
        <f t="shared" si="0"/>
        <v>0</v>
      </c>
      <c r="O24" s="30"/>
      <c r="P24" s="33">
        <f t="shared" si="6"/>
        <v>0</v>
      </c>
      <c r="Q24" s="30"/>
      <c r="R24" s="33">
        <f t="shared" si="1"/>
        <v>0</v>
      </c>
      <c r="S24" s="33">
        <f>IF(OR(R24&lt;=0,),0,MIN(MAX(введ!$C$11,R24),введ!$C$14))</f>
        <v>0</v>
      </c>
      <c r="T24" s="33">
        <f>ROUND(S24*введ!C$15,0)</f>
        <v>0</v>
      </c>
      <c r="U24" s="30"/>
      <c r="V24" s="33">
        <f t="shared" si="7"/>
        <v>0</v>
      </c>
      <c r="W24" s="34">
        <f t="shared" si="2"/>
        <v>0</v>
      </c>
      <c r="X24" s="30"/>
      <c r="Y24" s="10"/>
      <c r="Z24" s="33">
        <f t="shared" si="3"/>
        <v>0</v>
      </c>
      <c r="AA24" s="33">
        <f>IF(OR(Z24&lt;=0,),0,MIN(MIN(введ!$C$17,Z24),введ!$C$17))</f>
        <v>0</v>
      </c>
      <c r="AB24" s="33">
        <f>AA24*введ!C$18</f>
        <v>0</v>
      </c>
      <c r="AC24" s="33">
        <f>AA24*введ!C$22</f>
        <v>0</v>
      </c>
      <c r="AD24" s="33"/>
      <c r="AE24" s="33">
        <f t="shared" si="8"/>
        <v>0</v>
      </c>
      <c r="AF24" s="33">
        <f t="shared" si="9"/>
        <v>0</v>
      </c>
    </row>
    <row r="25" spans="1:32" x14ac:dyDescent="0.2">
      <c r="A25" s="26">
        <v>12</v>
      </c>
      <c r="B25" s="26"/>
      <c r="C25" s="28"/>
      <c r="D25" s="30"/>
      <c r="E25" s="29">
        <f>IF(C25&gt;=3,0,IF((D25-P25)&gt;введ!C$11,введ!C$11,IF((D25-P25)&lt;=введ!C$11,D25-P25,0)))</f>
        <v>0</v>
      </c>
      <c r="F25" s="29">
        <f t="shared" si="4"/>
        <v>0</v>
      </c>
      <c r="G25" s="30"/>
      <c r="H25" s="30"/>
      <c r="I25" s="30"/>
      <c r="J25" s="33">
        <f t="shared" si="5"/>
        <v>0</v>
      </c>
      <c r="K25" s="11">
        <f>IF(C25=0,0,IF(C25&gt;1,0,IF(D25&lt;=введ!C$20*25,J25/100,J25/10)))</f>
        <v>0</v>
      </c>
      <c r="L25" s="11">
        <f>IF(C25=0,0,IF(C25=1,0,IF(C25&gt;=3,J25/10,IF(C25=2,IF(D25&lt;=введ!C$20*25,J25/100,J25/10)))))</f>
        <v>0</v>
      </c>
      <c r="M25" s="30"/>
      <c r="N25" s="33">
        <f t="shared" si="0"/>
        <v>0</v>
      </c>
      <c r="O25" s="30"/>
      <c r="P25" s="33">
        <f t="shared" si="6"/>
        <v>0</v>
      </c>
      <c r="Q25" s="30"/>
      <c r="R25" s="33">
        <f t="shared" si="1"/>
        <v>0</v>
      </c>
      <c r="S25" s="33">
        <f>IF(OR(R25&lt;=0,),0,MIN(MAX(введ!$C$11,R25),введ!$C$14))</f>
        <v>0</v>
      </c>
      <c r="T25" s="33">
        <f>ROUND(S25*введ!C$15,0)</f>
        <v>0</v>
      </c>
      <c r="U25" s="30"/>
      <c r="V25" s="33">
        <f t="shared" si="7"/>
        <v>0</v>
      </c>
      <c r="W25" s="34">
        <f t="shared" si="2"/>
        <v>0</v>
      </c>
      <c r="X25" s="30"/>
      <c r="Y25" s="10"/>
      <c r="Z25" s="33">
        <f t="shared" si="3"/>
        <v>0</v>
      </c>
      <c r="AA25" s="33">
        <f>IF(OR(Z25&lt;=0,),0,MIN(MIN(введ!$C$17,Z25),введ!$C$17))</f>
        <v>0</v>
      </c>
      <c r="AB25" s="33">
        <f>AA25*введ!C$18</f>
        <v>0</v>
      </c>
      <c r="AC25" s="33">
        <f>AA25*введ!C$22</f>
        <v>0</v>
      </c>
      <c r="AD25" s="33"/>
      <c r="AE25" s="33">
        <f t="shared" si="8"/>
        <v>0</v>
      </c>
      <c r="AF25" s="33">
        <f t="shared" si="9"/>
        <v>0</v>
      </c>
    </row>
    <row r="26" spans="1:32" x14ac:dyDescent="0.2">
      <c r="A26" s="402" t="s">
        <v>72</v>
      </c>
      <c r="B26" s="403"/>
      <c r="C26" s="15"/>
      <c r="D26" s="33">
        <f t="shared" ref="D26:AC26" si="10">SUM(D14:D25)</f>
        <v>630000</v>
      </c>
      <c r="E26" s="33">
        <f t="shared" si="10"/>
        <v>85000</v>
      </c>
      <c r="F26" s="33">
        <f t="shared" si="10"/>
        <v>8600</v>
      </c>
      <c r="G26" s="33">
        <f t="shared" si="10"/>
        <v>0</v>
      </c>
      <c r="H26" s="33">
        <f t="shared" si="10"/>
        <v>0</v>
      </c>
      <c r="I26" s="33">
        <f t="shared" si="10"/>
        <v>0</v>
      </c>
      <c r="J26" s="33">
        <f t="shared" si="10"/>
        <v>493400</v>
      </c>
      <c r="K26" s="33">
        <f t="shared" si="10"/>
        <v>29340</v>
      </c>
      <c r="L26" s="33">
        <f t="shared" si="10"/>
        <v>20000</v>
      </c>
      <c r="M26" s="33">
        <f t="shared" si="10"/>
        <v>0</v>
      </c>
      <c r="N26" s="33">
        <f t="shared" si="10"/>
        <v>430000</v>
      </c>
      <c r="O26" s="33">
        <f t="shared" si="10"/>
        <v>0</v>
      </c>
      <c r="P26" s="33">
        <f t="shared" si="10"/>
        <v>43000</v>
      </c>
      <c r="Q26" s="33">
        <f t="shared" si="10"/>
        <v>0</v>
      </c>
      <c r="R26" s="33">
        <f t="shared" si="10"/>
        <v>387000</v>
      </c>
      <c r="S26" s="33">
        <f t="shared" si="10"/>
        <v>387000</v>
      </c>
      <c r="T26" s="33">
        <f t="shared" si="10"/>
        <v>13545</v>
      </c>
      <c r="U26" s="33">
        <f t="shared" si="10"/>
        <v>0</v>
      </c>
      <c r="V26" s="33">
        <f t="shared" si="10"/>
        <v>0</v>
      </c>
      <c r="W26" s="34">
        <f t="shared" si="10"/>
        <v>3</v>
      </c>
      <c r="X26" s="33">
        <f t="shared" si="10"/>
        <v>0</v>
      </c>
      <c r="Y26" s="33">
        <f t="shared" si="10"/>
        <v>0</v>
      </c>
      <c r="Z26" s="33">
        <f t="shared" si="10"/>
        <v>430000</v>
      </c>
      <c r="AA26" s="33">
        <f t="shared" si="10"/>
        <v>430000</v>
      </c>
      <c r="AB26" s="33">
        <f t="shared" si="10"/>
        <v>8600</v>
      </c>
      <c r="AC26" s="33">
        <f t="shared" si="10"/>
        <v>8600</v>
      </c>
      <c r="AD26" s="33">
        <f>IF(D26&gt;0,D26/W26,0)</f>
        <v>210000</v>
      </c>
      <c r="AE26" s="33">
        <f>SUM(AE14:AE25)</f>
        <v>430000</v>
      </c>
      <c r="AF26" s="33">
        <f>SUM(AF14:AF25)</f>
        <v>200000</v>
      </c>
    </row>
    <row r="27" spans="1:32" x14ac:dyDescent="0.2">
      <c r="A27" s="25"/>
      <c r="B27" s="25"/>
      <c r="C27" s="25"/>
      <c r="D27" s="25"/>
      <c r="E27" s="25"/>
      <c r="F27" s="25"/>
      <c r="G27" s="25"/>
    </row>
    <row r="28" spans="1:32" x14ac:dyDescent="0.2">
      <c r="A28" s="22"/>
      <c r="B28" s="22"/>
      <c r="C28" s="22"/>
      <c r="D28" s="22"/>
      <c r="E28" s="22"/>
      <c r="F28" s="25"/>
      <c r="G28" s="25"/>
    </row>
    <row r="29" spans="1:32" x14ac:dyDescent="0.2">
      <c r="A29" s="36" t="s">
        <v>62</v>
      </c>
    </row>
    <row r="31" spans="1:32" x14ac:dyDescent="0.2">
      <c r="A31" s="22"/>
      <c r="B31" s="22"/>
      <c r="C31" s="22"/>
      <c r="D31" s="22"/>
      <c r="E31" s="22"/>
      <c r="F31" s="25"/>
      <c r="G31" s="25"/>
    </row>
    <row r="32" spans="1:32" x14ac:dyDescent="0.2">
      <c r="A32" s="36" t="s">
        <v>63</v>
      </c>
    </row>
    <row r="34" spans="1:7" x14ac:dyDescent="0.2">
      <c r="A34" s="22"/>
      <c r="B34" s="22"/>
      <c r="C34" s="22"/>
      <c r="D34" s="22"/>
      <c r="E34" s="22"/>
      <c r="F34" s="25"/>
      <c r="G34" s="25"/>
    </row>
    <row r="35" spans="1:7" x14ac:dyDescent="0.2">
      <c r="A35" s="36" t="s">
        <v>73</v>
      </c>
    </row>
    <row r="37" spans="1:7" x14ac:dyDescent="0.2">
      <c r="A37" s="22"/>
      <c r="B37" s="22"/>
      <c r="C37" s="22"/>
      <c r="D37" s="22"/>
    </row>
    <row r="38" spans="1:7" x14ac:dyDescent="0.2">
      <c r="A38" s="36" t="s">
        <v>64</v>
      </c>
    </row>
    <row r="39" spans="1:7" x14ac:dyDescent="0.2">
      <c r="A39" s="25"/>
      <c r="B39" s="25"/>
      <c r="C39" s="25"/>
      <c r="D39" s="25"/>
      <c r="E39" s="25"/>
      <c r="F39" s="25"/>
      <c r="G39" s="25"/>
    </row>
  </sheetData>
  <mergeCells count="2">
    <mergeCell ref="A10:H10"/>
    <mergeCell ref="A26:B26"/>
  </mergeCells>
  <pageMargins left="0.75" right="0.75" top="1" bottom="1" header="0.5" footer="0.5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5"/>
  <dimension ref="A2:AF38"/>
  <sheetViews>
    <sheetView topLeftCell="A13" workbookViewId="0">
      <pane xSplit="2" ySplit="1" topLeftCell="C14" activePane="bottomRight" state="frozen"/>
      <selection activeCell="A13" sqref="A13"/>
      <selection pane="topRight" activeCell="C13" sqref="C13"/>
      <selection pane="bottomLeft" activeCell="A14" sqref="A14"/>
      <selection pane="bottomRight" activeCell="C18" sqref="C18"/>
    </sheetView>
  </sheetViews>
  <sheetFormatPr defaultColWidth="8.7109375" defaultRowHeight="12.75" x14ac:dyDescent="0.2"/>
  <cols>
    <col min="1" max="1" width="5.85546875" style="16" customWidth="1"/>
    <col min="2" max="3" width="18.5703125" style="16" customWidth="1"/>
    <col min="4" max="4" width="13.140625" style="16" customWidth="1"/>
    <col min="5" max="5" width="14.5703125" style="16" customWidth="1"/>
    <col min="6" max="7" width="13.7109375" style="16" customWidth="1"/>
    <col min="8" max="8" width="13.140625" style="16" customWidth="1"/>
    <col min="9" max="9" width="13.42578125" style="16" bestFit="1" customWidth="1"/>
    <col min="10" max="10" width="11" style="16" customWidth="1"/>
    <col min="11" max="11" width="9.5703125" style="16" customWidth="1"/>
    <col min="12" max="12" width="10" style="16" customWidth="1"/>
    <col min="13" max="13" width="12.5703125" style="16" customWidth="1"/>
    <col min="14" max="14" width="8.7109375" style="16" bestFit="1" customWidth="1"/>
    <col min="15" max="15" width="10.42578125" style="16" customWidth="1"/>
    <col min="16" max="16" width="13.7109375" style="16" customWidth="1"/>
    <col min="17" max="17" width="15.42578125" style="16" customWidth="1"/>
    <col min="18" max="18" width="16" style="16" customWidth="1"/>
    <col min="19" max="19" width="19.7109375" style="16" customWidth="1"/>
    <col min="20" max="20" width="13" style="16" customWidth="1"/>
    <col min="21" max="23" width="8.7109375" style="16" bestFit="1" customWidth="1"/>
    <col min="24" max="24" width="13.7109375" style="19" customWidth="1"/>
    <col min="25" max="25" width="12.85546875" style="16" customWidth="1"/>
    <col min="26" max="26" width="14.7109375" style="16" bestFit="1" customWidth="1"/>
    <col min="27" max="27" width="12" style="16" bestFit="1" customWidth="1"/>
    <col min="28" max="28" width="11.85546875" style="16" customWidth="1"/>
    <col min="29" max="29" width="13.42578125" style="16" bestFit="1" customWidth="1"/>
    <col min="30" max="30" width="11.85546875" style="16" customWidth="1"/>
    <col min="31" max="31" width="11.7109375" style="16" customWidth="1"/>
    <col min="32" max="32" width="10.42578125" style="16" bestFit="1" customWidth="1"/>
    <col min="33" max="16384" width="8.7109375" style="16"/>
  </cols>
  <sheetData>
    <row r="2" spans="1:32" x14ac:dyDescent="0.2">
      <c r="L2" s="18"/>
      <c r="T2" s="17" t="s">
        <v>14</v>
      </c>
    </row>
    <row r="3" spans="1:32" x14ac:dyDescent="0.2">
      <c r="A3" s="20"/>
      <c r="B3" s="20"/>
      <c r="C3" s="20"/>
      <c r="D3" s="20"/>
      <c r="E3" s="20"/>
      <c r="F3" s="20"/>
      <c r="G3" s="20"/>
    </row>
    <row r="4" spans="1:32" x14ac:dyDescent="0.2">
      <c r="A4" s="20"/>
      <c r="B4" s="20"/>
      <c r="C4" s="20"/>
      <c r="D4" s="20"/>
      <c r="E4" s="20"/>
      <c r="F4" s="20"/>
      <c r="G4" s="20"/>
    </row>
    <row r="5" spans="1:32" x14ac:dyDescent="0.2">
      <c r="A5" s="21" t="s">
        <v>67</v>
      </c>
      <c r="B5" s="22"/>
      <c r="C5" s="22"/>
      <c r="D5" s="21"/>
      <c r="E5" s="21"/>
      <c r="F5" s="106"/>
      <c r="G5" s="106"/>
    </row>
    <row r="7" spans="1:32" x14ac:dyDescent="0.2">
      <c r="A7" s="16">
        <v>1</v>
      </c>
      <c r="B7" s="21" t="s">
        <v>68</v>
      </c>
      <c r="C7" s="21"/>
      <c r="D7" s="21"/>
      <c r="E7" s="21"/>
      <c r="F7" s="106"/>
      <c r="G7" s="106"/>
    </row>
    <row r="8" spans="1:32" x14ac:dyDescent="0.2">
      <c r="A8" s="16">
        <v>2</v>
      </c>
      <c r="B8" s="23" t="s">
        <v>15</v>
      </c>
      <c r="C8" s="23"/>
      <c r="D8" s="23"/>
      <c r="E8" s="24">
        <f>'910.00'!D8</f>
        <v>111111111111</v>
      </c>
      <c r="F8" s="118"/>
      <c r="G8" s="118"/>
    </row>
    <row r="9" spans="1:32" x14ac:dyDescent="0.2">
      <c r="A9" s="16">
        <v>3</v>
      </c>
      <c r="B9" s="21" t="s">
        <v>90</v>
      </c>
      <c r="C9" s="21"/>
      <c r="D9" s="21"/>
      <c r="E9" s="21" t="str">
        <f>IF('910.00'!L12=1,"февраль","август")</f>
        <v>февраль</v>
      </c>
      <c r="F9" s="106"/>
      <c r="G9" s="106"/>
      <c r="H9" s="16">
        <f>'910.00'!O12</f>
        <v>2021</v>
      </c>
    </row>
    <row r="10" spans="1:32" x14ac:dyDescent="0.2">
      <c r="A10" s="25"/>
      <c r="B10" s="25"/>
      <c r="C10" s="25"/>
      <c r="D10" s="25"/>
      <c r="E10" s="25"/>
      <c r="F10" s="25"/>
      <c r="G10" s="25"/>
    </row>
    <row r="11" spans="1:32" ht="43.5" customHeight="1" x14ac:dyDescent="0.2">
      <c r="A11" s="401" t="s">
        <v>164</v>
      </c>
      <c r="B11" s="401"/>
      <c r="C11" s="401"/>
      <c r="D11" s="401"/>
      <c r="E11" s="401"/>
      <c r="F11" s="401"/>
      <c r="G11" s="401"/>
      <c r="H11" s="401"/>
    </row>
    <row r="12" spans="1:32" x14ac:dyDescent="0.2">
      <c r="A12" s="25"/>
      <c r="B12" s="25"/>
      <c r="C12" s="25"/>
      <c r="D12" s="25"/>
      <c r="E12" s="25"/>
      <c r="F12" s="25"/>
      <c r="G12" s="25"/>
    </row>
    <row r="13" spans="1:32" ht="153" x14ac:dyDescent="0.2">
      <c r="A13" s="13" t="s">
        <v>69</v>
      </c>
      <c r="B13" s="13" t="s">
        <v>70</v>
      </c>
      <c r="C13" s="13" t="s">
        <v>376</v>
      </c>
      <c r="D13" s="13" t="s">
        <v>71</v>
      </c>
      <c r="E13" s="13" t="s">
        <v>196</v>
      </c>
      <c r="F13" s="13" t="s">
        <v>195</v>
      </c>
      <c r="G13" s="13" t="s">
        <v>261</v>
      </c>
      <c r="H13" s="13" t="s">
        <v>194</v>
      </c>
      <c r="I13" s="13" t="s">
        <v>259</v>
      </c>
      <c r="J13" s="13" t="s">
        <v>74</v>
      </c>
      <c r="K13" s="13" t="s">
        <v>129</v>
      </c>
      <c r="L13" s="13" t="s">
        <v>130</v>
      </c>
      <c r="M13" s="13" t="s">
        <v>75</v>
      </c>
      <c r="N13" s="13" t="s">
        <v>76</v>
      </c>
      <c r="O13" s="13" t="s">
        <v>101</v>
      </c>
      <c r="P13" s="13" t="s">
        <v>77</v>
      </c>
      <c r="Q13" s="13" t="s">
        <v>78</v>
      </c>
      <c r="R13" s="13" t="s">
        <v>79</v>
      </c>
      <c r="S13" s="13" t="s">
        <v>80</v>
      </c>
      <c r="T13" s="13" t="s">
        <v>81</v>
      </c>
      <c r="U13" s="13" t="s">
        <v>91</v>
      </c>
      <c r="V13" s="13" t="s">
        <v>92</v>
      </c>
      <c r="W13" s="13" t="s">
        <v>93</v>
      </c>
      <c r="X13" s="13" t="s">
        <v>118</v>
      </c>
      <c r="Y13" s="13"/>
      <c r="Z13" s="13" t="s">
        <v>176</v>
      </c>
      <c r="AA13" s="13" t="s">
        <v>119</v>
      </c>
      <c r="AB13" s="13" t="s">
        <v>121</v>
      </c>
      <c r="AC13" s="13" t="s">
        <v>191</v>
      </c>
      <c r="AD13" s="13" t="s">
        <v>126</v>
      </c>
      <c r="AE13" s="13" t="s">
        <v>254</v>
      </c>
      <c r="AF13" s="13" t="s">
        <v>255</v>
      </c>
    </row>
    <row r="14" spans="1:32" x14ac:dyDescent="0.2">
      <c r="A14" s="26">
        <v>1</v>
      </c>
      <c r="B14" s="26" t="s">
        <v>371</v>
      </c>
      <c r="C14" s="28">
        <v>1</v>
      </c>
      <c r="D14" s="30">
        <v>250000</v>
      </c>
      <c r="E14" s="119">
        <f>IF(C14&gt;=3,0,IF((D14-P14)&gt;введ!C$11,введ!C$11,IF((D14-P14)&lt;=введ!C$11,D14-P14,0)))</f>
        <v>42500</v>
      </c>
      <c r="F14" s="29">
        <f>IF(AC14&gt;0,AC14,0)</f>
        <v>5000</v>
      </c>
      <c r="G14" s="30"/>
      <c r="H14" s="112"/>
      <c r="I14" s="26"/>
      <c r="J14" s="33">
        <f t="shared" ref="J14:J16" si="0">IF(C14&gt;=3,D14-I14,D14-I14-E14-P14-F14-H14-G14)</f>
        <v>177500</v>
      </c>
      <c r="K14" s="11">
        <f>IF(C14=0,0,IF(C14&gt;1,0,IF(D14&lt;=введ!C$20*25,J14/100,J14/10)))</f>
        <v>17750</v>
      </c>
      <c r="L14" s="11">
        <f>IF(C14=0,0,IF(C14=1,0,IF(C14&gt;=3,J14/10,IF(C14=2,IF(D14&lt;=введ!C$20*25,J14/100,J14/10)))))</f>
        <v>0</v>
      </c>
      <c r="M14" s="26"/>
      <c r="N14" s="34">
        <f t="shared" ref="N14:N25" si="1">IF(C14=3,0,IF(O14=1,0,D14-M14))</f>
        <v>250000</v>
      </c>
      <c r="O14" s="26"/>
      <c r="P14" s="34">
        <f>N14*10%</f>
        <v>25000</v>
      </c>
      <c r="Q14" s="26"/>
      <c r="R14" s="34">
        <f t="shared" ref="R14:R25" si="2">IF(C14=3,0,IF(O14=1,0,D14-P14-Q14))</f>
        <v>225000</v>
      </c>
      <c r="S14" s="34">
        <f>IF(OR(R14&lt;=0,),0,MIN(MAX(введ!$C$11,R14),введ!$C$14))</f>
        <v>225000</v>
      </c>
      <c r="T14" s="34">
        <f>ROUND(S14*введ!C$15,0)</f>
        <v>7875</v>
      </c>
      <c r="U14" s="26"/>
      <c r="V14" s="34">
        <f>ROUND(U14*0.05,0)</f>
        <v>0</v>
      </c>
      <c r="W14" s="34">
        <f t="shared" ref="W14:W25" si="3">IF(D14=0,0,1)</f>
        <v>1</v>
      </c>
      <c r="X14" s="26"/>
      <c r="Y14" s="10"/>
      <c r="Z14" s="33">
        <f t="shared" ref="Z14:Z25" si="4">IF(C14=3,0,IF(O14=1,0,D14-X14))</f>
        <v>250000</v>
      </c>
      <c r="AA14" s="33">
        <f>IF(OR(Z14&lt;=0,),0,MIN(MIN(введ!$C$17,Z14),введ!$C$17))</f>
        <v>250000</v>
      </c>
      <c r="AB14" s="33">
        <f>AA14*введ!C$18</f>
        <v>5000</v>
      </c>
      <c r="AC14" s="33">
        <f>AA14*введ!C$22</f>
        <v>5000</v>
      </c>
      <c r="AD14" s="33"/>
      <c r="AE14" s="33">
        <f t="shared" ref="AE14:AE25" si="5">IF(C14=1,D14,0)</f>
        <v>250000</v>
      </c>
      <c r="AF14" s="33">
        <f t="shared" ref="AF14:AF25" si="6">IF(C14&gt;1,D14,0)</f>
        <v>0</v>
      </c>
    </row>
    <row r="15" spans="1:32" x14ac:dyDescent="0.2">
      <c r="A15" s="26">
        <v>2</v>
      </c>
      <c r="B15" s="26" t="s">
        <v>372</v>
      </c>
      <c r="C15" s="28">
        <v>1</v>
      </c>
      <c r="D15" s="30">
        <v>180000</v>
      </c>
      <c r="E15" s="119">
        <f>IF(C15&gt;=3,0,IF((D15-P15)&gt;введ!C$11,введ!C$11,IF((D15-P15)&lt;=введ!C$11,D15-P15,0)))</f>
        <v>42500</v>
      </c>
      <c r="F15" s="29">
        <f t="shared" ref="F15:F25" si="7">IF(AC15&gt;0,AC15,0)</f>
        <v>3600</v>
      </c>
      <c r="G15" s="30"/>
      <c r="H15" s="112"/>
      <c r="I15" s="26"/>
      <c r="J15" s="33">
        <f t="shared" si="0"/>
        <v>115900</v>
      </c>
      <c r="K15" s="11">
        <f>IF(C15=0,0,IF(C15&gt;1,0,IF(D15&lt;=введ!C$20*25,J15/100,J15/10)))</f>
        <v>11590</v>
      </c>
      <c r="L15" s="11">
        <f>IF(C15=0,0,IF(C15=1,0,IF(C15&gt;=3,J15/10,IF(C15=2,IF(D15&lt;=введ!C$20*25,J15/100,J15/10)))))</f>
        <v>0</v>
      </c>
      <c r="M15" s="26"/>
      <c r="N15" s="34">
        <f t="shared" si="1"/>
        <v>180000</v>
      </c>
      <c r="O15" s="26"/>
      <c r="P15" s="34">
        <f t="shared" ref="P15:P25" si="8">N15*10%</f>
        <v>18000</v>
      </c>
      <c r="Q15" s="26"/>
      <c r="R15" s="34">
        <f t="shared" si="2"/>
        <v>162000</v>
      </c>
      <c r="S15" s="34">
        <f>IF(OR(R15&lt;=0,),0,MIN(MAX(введ!$C$11,R15),введ!$C$14))</f>
        <v>162000</v>
      </c>
      <c r="T15" s="34">
        <f>ROUND(S15*введ!C$15,0)</f>
        <v>5670</v>
      </c>
      <c r="U15" s="26"/>
      <c r="V15" s="34">
        <f t="shared" ref="V15:V25" si="9">ROUND(U15*0.05,0)</f>
        <v>0</v>
      </c>
      <c r="W15" s="34">
        <f t="shared" si="3"/>
        <v>1</v>
      </c>
      <c r="X15" s="26"/>
      <c r="Y15" s="10"/>
      <c r="Z15" s="33">
        <f t="shared" si="4"/>
        <v>180000</v>
      </c>
      <c r="AA15" s="33">
        <f>IF(OR(Z15&lt;=0,),0,MIN(MIN(введ!$C$17,Z15),введ!$C$17))</f>
        <v>180000</v>
      </c>
      <c r="AB15" s="33">
        <f>AA15*введ!C$18</f>
        <v>3600</v>
      </c>
      <c r="AC15" s="33">
        <f>AA15*введ!C$22</f>
        <v>3600</v>
      </c>
      <c r="AD15" s="33"/>
      <c r="AE15" s="33">
        <f t="shared" si="5"/>
        <v>180000</v>
      </c>
      <c r="AF15" s="33">
        <f t="shared" si="6"/>
        <v>0</v>
      </c>
    </row>
    <row r="16" spans="1:32" x14ac:dyDescent="0.2">
      <c r="A16" s="26">
        <v>3</v>
      </c>
      <c r="B16" s="26" t="s">
        <v>375</v>
      </c>
      <c r="C16" s="28">
        <v>3</v>
      </c>
      <c r="D16" s="30">
        <v>200000</v>
      </c>
      <c r="E16" s="119">
        <f>IF(C16&gt;=3,0,IF((D16-P16)&gt;введ!C$11,введ!C$11,IF((D16-P16)&lt;=введ!C$11,D16-P16,0)))</f>
        <v>0</v>
      </c>
      <c r="F16" s="29">
        <f t="shared" si="7"/>
        <v>0</v>
      </c>
      <c r="G16" s="30"/>
      <c r="H16" s="112"/>
      <c r="I16" s="26"/>
      <c r="J16" s="33">
        <f t="shared" si="0"/>
        <v>200000</v>
      </c>
      <c r="K16" s="11">
        <f>IF(C16=0,0,IF(C16&gt;1,0,IF(D16&lt;=введ!C$20*25,J16/100,J16/10)))</f>
        <v>0</v>
      </c>
      <c r="L16" s="11">
        <f>IF(C16=0,0,IF(C16=1,0,IF(C16&gt;=3,J16/10,IF(C16=2,IF(D16&lt;=введ!C$20*25,J16/100,J16/10)))))</f>
        <v>20000</v>
      </c>
      <c r="M16" s="26"/>
      <c r="N16" s="34">
        <f t="shared" si="1"/>
        <v>0</v>
      </c>
      <c r="O16" s="26"/>
      <c r="P16" s="34">
        <f t="shared" si="8"/>
        <v>0</v>
      </c>
      <c r="Q16" s="26"/>
      <c r="R16" s="34">
        <f t="shared" si="2"/>
        <v>0</v>
      </c>
      <c r="S16" s="34">
        <f>IF(OR(R16&lt;=0,),0,MIN(MAX(введ!$C$11,R16),введ!$C$14))</f>
        <v>0</v>
      </c>
      <c r="T16" s="34">
        <f>ROUND(S16*введ!C$15,0)</f>
        <v>0</v>
      </c>
      <c r="U16" s="26"/>
      <c r="V16" s="34">
        <f t="shared" si="9"/>
        <v>0</v>
      </c>
      <c r="W16" s="34">
        <f t="shared" si="3"/>
        <v>1</v>
      </c>
      <c r="X16" s="26"/>
      <c r="Y16" s="10"/>
      <c r="Z16" s="33">
        <f t="shared" si="4"/>
        <v>0</v>
      </c>
      <c r="AA16" s="33">
        <f>IF(OR(Z16&lt;=0,),0,MIN(MIN(введ!$C$17,Z16),введ!$C$17))</f>
        <v>0</v>
      </c>
      <c r="AB16" s="33">
        <f>AA16*введ!C$18</f>
        <v>0</v>
      </c>
      <c r="AC16" s="33">
        <f>AA16*введ!C$22</f>
        <v>0</v>
      </c>
      <c r="AD16" s="33"/>
      <c r="AE16" s="33">
        <f t="shared" si="5"/>
        <v>0</v>
      </c>
      <c r="AF16" s="33">
        <f t="shared" si="6"/>
        <v>200000</v>
      </c>
    </row>
    <row r="17" spans="1:32" x14ac:dyDescent="0.2">
      <c r="A17" s="26">
        <v>4</v>
      </c>
      <c r="B17" s="26" t="s">
        <v>373</v>
      </c>
      <c r="C17" s="28">
        <v>2</v>
      </c>
      <c r="D17" s="30">
        <v>220000</v>
      </c>
      <c r="E17" s="119">
        <f>IF(C17&gt;=3,0,IF((D17-P17)&gt;введ!C$11,введ!C$11,IF((D17-P17)&lt;=введ!C$11,D17-P17,0)))</f>
        <v>42500</v>
      </c>
      <c r="F17" s="29">
        <f t="shared" si="7"/>
        <v>4400</v>
      </c>
      <c r="G17" s="30"/>
      <c r="H17" s="112"/>
      <c r="I17" s="26"/>
      <c r="J17" s="33">
        <f>IF(C17&gt;=3,D17-I17,D17-I17-E17-P17-F17-H17-G17)</f>
        <v>151100</v>
      </c>
      <c r="K17" s="11">
        <f>IF(C17=0,0,IF(C17&gt;1,0,IF(D17&lt;=введ!C$20*25,J17/100,J17/10)))</f>
        <v>0</v>
      </c>
      <c r="L17" s="11">
        <f>IF(C17=0,0,IF(C17=1,0,IF(C17&gt;=3,J17/10,IF(C17=2,IF(D17&lt;=введ!C$20*25,J17/100,J17/10)))))</f>
        <v>15110</v>
      </c>
      <c r="M17" s="26"/>
      <c r="N17" s="34">
        <f t="shared" si="1"/>
        <v>220000</v>
      </c>
      <c r="O17" s="26"/>
      <c r="P17" s="34">
        <f t="shared" si="8"/>
        <v>22000</v>
      </c>
      <c r="Q17" s="26"/>
      <c r="R17" s="34">
        <f t="shared" si="2"/>
        <v>198000</v>
      </c>
      <c r="S17" s="34">
        <f>IF(OR(R17&lt;=0,),0,MIN(MAX(введ!$C$11,R17),введ!$C$14))</f>
        <v>198000</v>
      </c>
      <c r="T17" s="34">
        <f>ROUND(S17*введ!C$15,0)</f>
        <v>6930</v>
      </c>
      <c r="U17" s="26"/>
      <c r="V17" s="34">
        <f t="shared" si="9"/>
        <v>0</v>
      </c>
      <c r="W17" s="34">
        <f t="shared" si="3"/>
        <v>1</v>
      </c>
      <c r="X17" s="26"/>
      <c r="Y17" s="10"/>
      <c r="Z17" s="33">
        <f t="shared" si="4"/>
        <v>220000</v>
      </c>
      <c r="AA17" s="33">
        <f>IF(OR(Z17&lt;=0,),0,MIN(MIN(введ!$C$17,Z17),введ!$C$17))</f>
        <v>220000</v>
      </c>
      <c r="AB17" s="33">
        <f>AA17*введ!C$18</f>
        <v>4400</v>
      </c>
      <c r="AC17" s="33">
        <f>AA17*введ!C$22</f>
        <v>4400</v>
      </c>
      <c r="AD17" s="33"/>
      <c r="AE17" s="33">
        <f t="shared" si="5"/>
        <v>0</v>
      </c>
      <c r="AF17" s="33">
        <f t="shared" si="6"/>
        <v>220000</v>
      </c>
    </row>
    <row r="18" spans="1:32" x14ac:dyDescent="0.2">
      <c r="A18" s="26">
        <v>5</v>
      </c>
      <c r="B18" s="26"/>
      <c r="C18" s="28"/>
      <c r="D18" s="30"/>
      <c r="E18" s="119">
        <f>IF(C18&gt;=3,0,IF((D18-P18)&gt;введ!C$11,введ!C$11,IF((D18-P18)&lt;=введ!C$11,D18-P18,0)))</f>
        <v>0</v>
      </c>
      <c r="F18" s="29">
        <f t="shared" si="7"/>
        <v>0</v>
      </c>
      <c r="G18" s="30"/>
      <c r="H18" s="112"/>
      <c r="I18" s="26"/>
      <c r="J18" s="33">
        <f t="shared" ref="J18:J25" si="10">IF(C18&gt;=3,D18-I18,D18-I18-E18-P18-F18-H18-G18)</f>
        <v>0</v>
      </c>
      <c r="K18" s="11">
        <f>IF(C18=0,0,IF(C18&gt;1,0,IF(D18&lt;=введ!C$20*25,J18/100,J18/10)))</f>
        <v>0</v>
      </c>
      <c r="L18" s="11">
        <f>IF(C18=0,0,IF(C18=1,0,IF(C18&gt;=3,J18/10,IF(C18=2,IF(D18&lt;=введ!C$20*25,J18/100,J18/10)))))</f>
        <v>0</v>
      </c>
      <c r="M18" s="26"/>
      <c r="N18" s="34">
        <f t="shared" si="1"/>
        <v>0</v>
      </c>
      <c r="O18" s="26"/>
      <c r="P18" s="34">
        <f t="shared" si="8"/>
        <v>0</v>
      </c>
      <c r="Q18" s="26"/>
      <c r="R18" s="34">
        <f t="shared" si="2"/>
        <v>0</v>
      </c>
      <c r="S18" s="34">
        <f>IF(OR(R18&lt;=0,),0,MIN(MAX(введ!$C$11,R18),введ!$C$14))</f>
        <v>0</v>
      </c>
      <c r="T18" s="34">
        <f>ROUND(S18*введ!C$15,0)</f>
        <v>0</v>
      </c>
      <c r="U18" s="26"/>
      <c r="V18" s="34">
        <f t="shared" si="9"/>
        <v>0</v>
      </c>
      <c r="W18" s="34">
        <f t="shared" si="3"/>
        <v>0</v>
      </c>
      <c r="X18" s="26"/>
      <c r="Y18" s="10"/>
      <c r="Z18" s="33">
        <f t="shared" si="4"/>
        <v>0</v>
      </c>
      <c r="AA18" s="33">
        <f>IF(OR(Z18&lt;=0,),0,MIN(MIN(введ!$C$17,Z18),введ!$C$17))</f>
        <v>0</v>
      </c>
      <c r="AB18" s="33">
        <f>AA18*введ!C$18</f>
        <v>0</v>
      </c>
      <c r="AC18" s="33">
        <f>AA18*введ!C$22</f>
        <v>0</v>
      </c>
      <c r="AD18" s="33"/>
      <c r="AE18" s="33">
        <f t="shared" si="5"/>
        <v>0</v>
      </c>
      <c r="AF18" s="33">
        <f t="shared" si="6"/>
        <v>0</v>
      </c>
    </row>
    <row r="19" spans="1:32" x14ac:dyDescent="0.2">
      <c r="A19" s="26">
        <v>6</v>
      </c>
      <c r="B19" s="26"/>
      <c r="C19" s="28"/>
      <c r="D19" s="30"/>
      <c r="E19" s="119">
        <f>IF(C19&gt;=3,0,IF((D19-P19)&gt;введ!C$11,введ!C$11,IF((D19-P19)&lt;=введ!C$11,D19-P19,0)))</f>
        <v>0</v>
      </c>
      <c r="F19" s="29">
        <f t="shared" si="7"/>
        <v>0</v>
      </c>
      <c r="G19" s="30"/>
      <c r="H19" s="112"/>
      <c r="I19" s="26"/>
      <c r="J19" s="33">
        <f t="shared" si="10"/>
        <v>0</v>
      </c>
      <c r="K19" s="11">
        <f>IF(C19=0,0,IF(C19&gt;1,0,IF(D19&lt;=введ!C$20*25,J19/100,J19/10)))</f>
        <v>0</v>
      </c>
      <c r="L19" s="11">
        <f>IF(C19=0,0,IF(C19=1,0,IF(C19&gt;=3,J19/10,IF(C19=2,IF(D19&lt;=введ!C$20*25,J19/100,J19/10)))))</f>
        <v>0</v>
      </c>
      <c r="M19" s="26"/>
      <c r="N19" s="34">
        <f t="shared" si="1"/>
        <v>0</v>
      </c>
      <c r="O19" s="26"/>
      <c r="P19" s="34">
        <f t="shared" si="8"/>
        <v>0</v>
      </c>
      <c r="Q19" s="26"/>
      <c r="R19" s="34">
        <f t="shared" si="2"/>
        <v>0</v>
      </c>
      <c r="S19" s="34">
        <f>IF(OR(R19&lt;=0,),0,MIN(MAX(введ!$C$11,R19),введ!$C$14))</f>
        <v>0</v>
      </c>
      <c r="T19" s="34">
        <f>ROUND(S19*введ!C$15,0)</f>
        <v>0</v>
      </c>
      <c r="U19" s="26"/>
      <c r="V19" s="34">
        <f t="shared" si="9"/>
        <v>0</v>
      </c>
      <c r="W19" s="34">
        <f t="shared" si="3"/>
        <v>0</v>
      </c>
      <c r="X19" s="26"/>
      <c r="Y19" s="10"/>
      <c r="Z19" s="33">
        <f t="shared" si="4"/>
        <v>0</v>
      </c>
      <c r="AA19" s="33">
        <f>IF(OR(Z19&lt;=0,),0,MIN(MIN(введ!$C$17,Z19),введ!$C$17))</f>
        <v>0</v>
      </c>
      <c r="AB19" s="33">
        <f>AA19*введ!C$18</f>
        <v>0</v>
      </c>
      <c r="AC19" s="33">
        <f>AA19*введ!C$22</f>
        <v>0</v>
      </c>
      <c r="AD19" s="33"/>
      <c r="AE19" s="33">
        <f t="shared" si="5"/>
        <v>0</v>
      </c>
      <c r="AF19" s="33">
        <f t="shared" si="6"/>
        <v>0</v>
      </c>
    </row>
    <row r="20" spans="1:32" x14ac:dyDescent="0.2">
      <c r="A20" s="26">
        <v>7</v>
      </c>
      <c r="B20" s="26"/>
      <c r="C20" s="28"/>
      <c r="D20" s="30"/>
      <c r="E20" s="119">
        <f>IF(C20&gt;=3,0,IF((D20-P20)&gt;введ!C$11,введ!C$11,IF((D20-P20)&lt;=введ!C$11,D20-P20,0)))</f>
        <v>0</v>
      </c>
      <c r="F20" s="29">
        <f t="shared" si="7"/>
        <v>0</v>
      </c>
      <c r="G20" s="30"/>
      <c r="H20" s="112"/>
      <c r="I20" s="26"/>
      <c r="J20" s="33">
        <f t="shared" si="10"/>
        <v>0</v>
      </c>
      <c r="K20" s="11">
        <f>IF(C20=0,0,IF(C20&gt;1,0,IF(D20&lt;=введ!C$20*25,J20/100,J20/10)))</f>
        <v>0</v>
      </c>
      <c r="L20" s="11">
        <f>IF(C20=0,0,IF(C20=1,0,IF(C20&gt;=3,J20/10,IF(C20=2,IF(D20&lt;=введ!C$20*25,J20/100,J20/10)))))</f>
        <v>0</v>
      </c>
      <c r="M20" s="26"/>
      <c r="N20" s="34">
        <f t="shared" si="1"/>
        <v>0</v>
      </c>
      <c r="O20" s="26"/>
      <c r="P20" s="34">
        <f t="shared" si="8"/>
        <v>0</v>
      </c>
      <c r="Q20" s="26"/>
      <c r="R20" s="34">
        <f t="shared" si="2"/>
        <v>0</v>
      </c>
      <c r="S20" s="34">
        <f>IF(OR(R20&lt;=0,),0,MIN(MAX(введ!$C$11,R20),введ!$C$14))</f>
        <v>0</v>
      </c>
      <c r="T20" s="34">
        <f>ROUND(S20*введ!C$15,0)</f>
        <v>0</v>
      </c>
      <c r="U20" s="26"/>
      <c r="V20" s="34">
        <f t="shared" si="9"/>
        <v>0</v>
      </c>
      <c r="W20" s="34">
        <f t="shared" si="3"/>
        <v>0</v>
      </c>
      <c r="X20" s="26"/>
      <c r="Y20" s="10"/>
      <c r="Z20" s="33">
        <f t="shared" si="4"/>
        <v>0</v>
      </c>
      <c r="AA20" s="33">
        <f>IF(OR(Z20&lt;=0,),0,MIN(MIN(введ!$C$17,Z20),введ!$C$17))</f>
        <v>0</v>
      </c>
      <c r="AB20" s="33">
        <f>AA20*введ!C$18</f>
        <v>0</v>
      </c>
      <c r="AC20" s="33">
        <f>AA20*введ!C$22</f>
        <v>0</v>
      </c>
      <c r="AD20" s="33"/>
      <c r="AE20" s="33">
        <f t="shared" si="5"/>
        <v>0</v>
      </c>
      <c r="AF20" s="33">
        <f t="shared" si="6"/>
        <v>0</v>
      </c>
    </row>
    <row r="21" spans="1:32" x14ac:dyDescent="0.2">
      <c r="A21" s="26">
        <v>8</v>
      </c>
      <c r="B21" s="26"/>
      <c r="C21" s="28"/>
      <c r="D21" s="30"/>
      <c r="E21" s="119">
        <f>IF(C21&gt;=3,0,IF((D21-P21)&gt;введ!C$11,введ!C$11,IF((D21-P21)&lt;=введ!C$11,D21-P21,0)))</f>
        <v>0</v>
      </c>
      <c r="F21" s="29">
        <f t="shared" si="7"/>
        <v>0</v>
      </c>
      <c r="G21" s="30"/>
      <c r="H21" s="112"/>
      <c r="I21" s="26"/>
      <c r="J21" s="33">
        <f t="shared" si="10"/>
        <v>0</v>
      </c>
      <c r="K21" s="11">
        <f>IF(C21=0,0,IF(C21&gt;1,0,IF(D21&lt;=введ!C$20*25,J21/100,J21/10)))</f>
        <v>0</v>
      </c>
      <c r="L21" s="11">
        <f>IF(C21=0,0,IF(C21=1,0,IF(C21&gt;=3,J21/10,IF(C21=2,IF(D21&lt;=введ!C$20*25,J21/100,J21/10)))))</f>
        <v>0</v>
      </c>
      <c r="M21" s="26"/>
      <c r="N21" s="34">
        <f t="shared" si="1"/>
        <v>0</v>
      </c>
      <c r="O21" s="26"/>
      <c r="P21" s="34">
        <f t="shared" si="8"/>
        <v>0</v>
      </c>
      <c r="Q21" s="26"/>
      <c r="R21" s="34">
        <f t="shared" si="2"/>
        <v>0</v>
      </c>
      <c r="S21" s="34">
        <f>IF(OR(R21&lt;=0,),0,MIN(MAX(введ!$C$11,R21),введ!$C$14))</f>
        <v>0</v>
      </c>
      <c r="T21" s="34">
        <f>ROUND(S21*введ!C$15,0)</f>
        <v>0</v>
      </c>
      <c r="U21" s="26"/>
      <c r="V21" s="34">
        <f t="shared" si="9"/>
        <v>0</v>
      </c>
      <c r="W21" s="34">
        <f t="shared" si="3"/>
        <v>0</v>
      </c>
      <c r="X21" s="26"/>
      <c r="Y21" s="10"/>
      <c r="Z21" s="33">
        <f t="shared" si="4"/>
        <v>0</v>
      </c>
      <c r="AA21" s="33">
        <f>IF(OR(Z21&lt;=0,),0,MIN(MIN(введ!$C$17,Z21),введ!$C$17))</f>
        <v>0</v>
      </c>
      <c r="AB21" s="33">
        <f>AA21*введ!C$18</f>
        <v>0</v>
      </c>
      <c r="AC21" s="33">
        <f>AA21*введ!C$22</f>
        <v>0</v>
      </c>
      <c r="AD21" s="33"/>
      <c r="AE21" s="33">
        <f t="shared" si="5"/>
        <v>0</v>
      </c>
      <c r="AF21" s="33">
        <f t="shared" si="6"/>
        <v>0</v>
      </c>
    </row>
    <row r="22" spans="1:32" x14ac:dyDescent="0.2">
      <c r="A22" s="26">
        <v>9</v>
      </c>
      <c r="B22" s="26"/>
      <c r="C22" s="28"/>
      <c r="D22" s="30"/>
      <c r="E22" s="119">
        <f>IF(C22&gt;=3,0,IF((D22-P22)&gt;введ!C$11,введ!C$11,IF((D22-P22)&lt;=введ!C$11,D22-P22,0)))</f>
        <v>0</v>
      </c>
      <c r="F22" s="29">
        <f t="shared" si="7"/>
        <v>0</v>
      </c>
      <c r="G22" s="30"/>
      <c r="H22" s="112"/>
      <c r="I22" s="26"/>
      <c r="J22" s="33">
        <f t="shared" si="10"/>
        <v>0</v>
      </c>
      <c r="K22" s="11">
        <f>IF(C22=0,0,IF(C22&gt;1,0,IF(D22&lt;=введ!C$20*25,J22/100,J22/10)))</f>
        <v>0</v>
      </c>
      <c r="L22" s="11">
        <f>IF(C22=0,0,IF(C22=1,0,IF(C22&gt;=3,J22/10,IF(C22=2,IF(D22&lt;=введ!C$20*25,J22/100,J22/10)))))</f>
        <v>0</v>
      </c>
      <c r="M22" s="26"/>
      <c r="N22" s="34">
        <f t="shared" si="1"/>
        <v>0</v>
      </c>
      <c r="O22" s="26"/>
      <c r="P22" s="34">
        <f t="shared" si="8"/>
        <v>0</v>
      </c>
      <c r="Q22" s="26"/>
      <c r="R22" s="34">
        <f t="shared" si="2"/>
        <v>0</v>
      </c>
      <c r="S22" s="34">
        <f>IF(OR(R22&lt;=0,),0,MIN(MAX(введ!$C$11,R22),введ!$C$14))</f>
        <v>0</v>
      </c>
      <c r="T22" s="34">
        <f>ROUND(S22*введ!C$15,0)</f>
        <v>0</v>
      </c>
      <c r="U22" s="26"/>
      <c r="V22" s="34">
        <f t="shared" si="9"/>
        <v>0</v>
      </c>
      <c r="W22" s="34">
        <f t="shared" si="3"/>
        <v>0</v>
      </c>
      <c r="X22" s="26"/>
      <c r="Y22" s="10"/>
      <c r="Z22" s="33">
        <f t="shared" si="4"/>
        <v>0</v>
      </c>
      <c r="AA22" s="33">
        <f>IF(OR(Z22&lt;=0,),0,MIN(MIN(введ!$C$17,Z22),введ!$C$17))</f>
        <v>0</v>
      </c>
      <c r="AB22" s="33">
        <f>AA22*введ!C$18</f>
        <v>0</v>
      </c>
      <c r="AC22" s="33">
        <f>AA22*введ!C$22</f>
        <v>0</v>
      </c>
      <c r="AD22" s="33"/>
      <c r="AE22" s="33">
        <f t="shared" si="5"/>
        <v>0</v>
      </c>
      <c r="AF22" s="33">
        <f t="shared" si="6"/>
        <v>0</v>
      </c>
    </row>
    <row r="23" spans="1:32" x14ac:dyDescent="0.2">
      <c r="A23" s="26">
        <v>10</v>
      </c>
      <c r="B23" s="26"/>
      <c r="C23" s="28"/>
      <c r="D23" s="30"/>
      <c r="E23" s="119">
        <f>IF(C23&gt;=3,0,IF((D23-P23)&gt;введ!C$11,введ!C$11,IF((D23-P23)&lt;=введ!C$11,D23-P23,0)))</f>
        <v>0</v>
      </c>
      <c r="F23" s="29">
        <f t="shared" si="7"/>
        <v>0</v>
      </c>
      <c r="G23" s="30"/>
      <c r="H23" s="112"/>
      <c r="I23" s="26"/>
      <c r="J23" s="33">
        <f t="shared" si="10"/>
        <v>0</v>
      </c>
      <c r="K23" s="11">
        <f>IF(C23=0,0,IF(C23&gt;1,0,IF(D23&lt;=введ!C$20*25,J23/100,J23/10)))</f>
        <v>0</v>
      </c>
      <c r="L23" s="11">
        <f>IF(C23=0,0,IF(C23=1,0,IF(C23&gt;=3,J23/10,IF(C23=2,IF(D23&lt;=введ!C$20*25,J23/100,J23/10)))))</f>
        <v>0</v>
      </c>
      <c r="M23" s="26"/>
      <c r="N23" s="34">
        <f t="shared" si="1"/>
        <v>0</v>
      </c>
      <c r="O23" s="26"/>
      <c r="P23" s="34">
        <f t="shared" si="8"/>
        <v>0</v>
      </c>
      <c r="Q23" s="26"/>
      <c r="R23" s="34">
        <f t="shared" si="2"/>
        <v>0</v>
      </c>
      <c r="S23" s="34">
        <f>IF(OR(R23&lt;=0,),0,MIN(MAX(введ!$C$11,R23),введ!$C$14))</f>
        <v>0</v>
      </c>
      <c r="T23" s="34">
        <f>ROUND(S23*введ!C$15,0)</f>
        <v>0</v>
      </c>
      <c r="U23" s="26"/>
      <c r="V23" s="34">
        <f t="shared" si="9"/>
        <v>0</v>
      </c>
      <c r="W23" s="34">
        <f t="shared" si="3"/>
        <v>0</v>
      </c>
      <c r="X23" s="26"/>
      <c r="Y23" s="10"/>
      <c r="Z23" s="33">
        <f t="shared" si="4"/>
        <v>0</v>
      </c>
      <c r="AA23" s="33">
        <f>IF(OR(Z23&lt;=0,),0,MIN(MIN(введ!$C$17,Z23),введ!$C$17))</f>
        <v>0</v>
      </c>
      <c r="AB23" s="33">
        <f>AA23*введ!C$18</f>
        <v>0</v>
      </c>
      <c r="AC23" s="33">
        <f>AA23*введ!C$22</f>
        <v>0</v>
      </c>
      <c r="AD23" s="33"/>
      <c r="AE23" s="33">
        <f t="shared" si="5"/>
        <v>0</v>
      </c>
      <c r="AF23" s="33">
        <f t="shared" si="6"/>
        <v>0</v>
      </c>
    </row>
    <row r="24" spans="1:32" x14ac:dyDescent="0.2">
      <c r="A24" s="26">
        <v>11</v>
      </c>
      <c r="B24" s="26"/>
      <c r="C24" s="28"/>
      <c r="D24" s="30"/>
      <c r="E24" s="119">
        <f>IF(C24&gt;=3,0,IF((D24-P24)&gt;введ!C$11,введ!C$11,IF((D24-P24)&lt;=введ!C$11,D24-P24,0)))</f>
        <v>0</v>
      </c>
      <c r="F24" s="29">
        <f t="shared" si="7"/>
        <v>0</v>
      </c>
      <c r="G24" s="30"/>
      <c r="H24" s="112"/>
      <c r="I24" s="26"/>
      <c r="J24" s="33">
        <f t="shared" si="10"/>
        <v>0</v>
      </c>
      <c r="K24" s="11">
        <f>IF(C24=0,0,IF(C24&gt;1,0,IF(D24&lt;=введ!C$20*25,J24/100,J24/10)))</f>
        <v>0</v>
      </c>
      <c r="L24" s="11">
        <f>IF(C24=0,0,IF(C24=1,0,IF(C24&gt;=3,J24/10,IF(C24=2,IF(D24&lt;=введ!C$20*25,J24/100,J24/10)))))</f>
        <v>0</v>
      </c>
      <c r="M24" s="26"/>
      <c r="N24" s="34">
        <f t="shared" si="1"/>
        <v>0</v>
      </c>
      <c r="O24" s="26"/>
      <c r="P24" s="34">
        <f t="shared" si="8"/>
        <v>0</v>
      </c>
      <c r="Q24" s="26"/>
      <c r="R24" s="34">
        <f t="shared" si="2"/>
        <v>0</v>
      </c>
      <c r="S24" s="34">
        <f>IF(OR(R24&lt;=0,),0,MIN(MAX(введ!$C$11,R24),введ!$C$14))</f>
        <v>0</v>
      </c>
      <c r="T24" s="34">
        <f>ROUND(S24*введ!C$15,0)</f>
        <v>0</v>
      </c>
      <c r="U24" s="26"/>
      <c r="V24" s="34">
        <f t="shared" si="9"/>
        <v>0</v>
      </c>
      <c r="W24" s="34">
        <f t="shared" si="3"/>
        <v>0</v>
      </c>
      <c r="X24" s="26"/>
      <c r="Y24" s="10"/>
      <c r="Z24" s="33">
        <f t="shared" si="4"/>
        <v>0</v>
      </c>
      <c r="AA24" s="33">
        <f>IF(OR(Z24&lt;=0,),0,MIN(MIN(введ!$C$17,Z24),введ!$C$17))</f>
        <v>0</v>
      </c>
      <c r="AB24" s="33">
        <f>AA24*введ!C$18</f>
        <v>0</v>
      </c>
      <c r="AC24" s="33">
        <f>AA24*введ!C$22</f>
        <v>0</v>
      </c>
      <c r="AD24" s="33"/>
      <c r="AE24" s="33">
        <f t="shared" si="5"/>
        <v>0</v>
      </c>
      <c r="AF24" s="33">
        <f t="shared" si="6"/>
        <v>0</v>
      </c>
    </row>
    <row r="25" spans="1:32" x14ac:dyDescent="0.2">
      <c r="A25" s="26">
        <v>12</v>
      </c>
      <c r="B25" s="26"/>
      <c r="C25" s="28"/>
      <c r="D25" s="30"/>
      <c r="E25" s="119">
        <f>IF(C25&gt;=3,0,IF((D25-P25)&gt;введ!C$11,введ!C$11,IF((D25-P25)&lt;=введ!C$11,D25-P25,0)))</f>
        <v>0</v>
      </c>
      <c r="F25" s="29">
        <f t="shared" si="7"/>
        <v>0</v>
      </c>
      <c r="G25" s="30"/>
      <c r="H25" s="112"/>
      <c r="I25" s="26"/>
      <c r="J25" s="33">
        <f t="shared" si="10"/>
        <v>0</v>
      </c>
      <c r="K25" s="11">
        <f>IF(C25=0,0,IF(C25&gt;1,0,IF(D25&lt;=введ!C$20*25,J25/100,J25/10)))</f>
        <v>0</v>
      </c>
      <c r="L25" s="11">
        <f>IF(C25=0,0,IF(C25=1,0,IF(C25&gt;=3,J25/10,IF(C25=2,IF(D25&lt;=введ!C$20*25,J25/100,J25/10)))))</f>
        <v>0</v>
      </c>
      <c r="M25" s="26"/>
      <c r="N25" s="34">
        <f t="shared" si="1"/>
        <v>0</v>
      </c>
      <c r="O25" s="26"/>
      <c r="P25" s="34">
        <f t="shared" si="8"/>
        <v>0</v>
      </c>
      <c r="Q25" s="26"/>
      <c r="R25" s="34">
        <f t="shared" si="2"/>
        <v>0</v>
      </c>
      <c r="S25" s="34">
        <f>IF(OR(R25&lt;=0,),0,MIN(MAX(введ!$C$11,R25),введ!$C$14))</f>
        <v>0</v>
      </c>
      <c r="T25" s="34">
        <f>ROUND(S25*введ!C$15,0)</f>
        <v>0</v>
      </c>
      <c r="U25" s="26"/>
      <c r="V25" s="34">
        <f t="shared" si="9"/>
        <v>0</v>
      </c>
      <c r="W25" s="34">
        <f t="shared" si="3"/>
        <v>0</v>
      </c>
      <c r="X25" s="26"/>
      <c r="Y25" s="10"/>
      <c r="Z25" s="33">
        <f t="shared" si="4"/>
        <v>0</v>
      </c>
      <c r="AA25" s="33">
        <f>IF(OR(Z25&lt;=0,),0,MIN(MIN(введ!$C$17,Z25),введ!$C$17))</f>
        <v>0</v>
      </c>
      <c r="AB25" s="33">
        <f>AA25*введ!C$18</f>
        <v>0</v>
      </c>
      <c r="AC25" s="33">
        <f>AA25*введ!C$22</f>
        <v>0</v>
      </c>
      <c r="AD25" s="33"/>
      <c r="AE25" s="33">
        <f t="shared" si="5"/>
        <v>0</v>
      </c>
      <c r="AF25" s="33">
        <f t="shared" si="6"/>
        <v>0</v>
      </c>
    </row>
    <row r="26" spans="1:32" x14ac:dyDescent="0.2">
      <c r="A26" s="402" t="s">
        <v>72</v>
      </c>
      <c r="B26" s="403"/>
      <c r="C26" s="15"/>
      <c r="D26" s="33">
        <f>SUM(D14:D25)</f>
        <v>850000</v>
      </c>
      <c r="E26" s="33">
        <f t="shared" ref="E26:V26" si="11">SUM(E14:E25)</f>
        <v>127500</v>
      </c>
      <c r="F26" s="33">
        <f t="shared" si="11"/>
        <v>13000</v>
      </c>
      <c r="G26" s="34">
        <f>SUM(G14:G25)</f>
        <v>0</v>
      </c>
      <c r="H26" s="34">
        <f>SUM(H14:H25)</f>
        <v>0</v>
      </c>
      <c r="I26" s="34">
        <f>SUM(I14:I25)</f>
        <v>0</v>
      </c>
      <c r="J26" s="33">
        <f>SUM(J14:J25)</f>
        <v>644500</v>
      </c>
      <c r="K26" s="33">
        <f t="shared" si="11"/>
        <v>29340</v>
      </c>
      <c r="L26" s="33">
        <f t="shared" si="11"/>
        <v>35110</v>
      </c>
      <c r="M26" s="34">
        <f t="shared" si="11"/>
        <v>0</v>
      </c>
      <c r="N26" s="34">
        <f t="shared" si="11"/>
        <v>650000</v>
      </c>
      <c r="O26" s="34">
        <f>SUM(O14:O25)</f>
        <v>0</v>
      </c>
      <c r="P26" s="34">
        <f>SUM(P14:P25)</f>
        <v>65000</v>
      </c>
      <c r="Q26" s="34">
        <f t="shared" si="11"/>
        <v>0</v>
      </c>
      <c r="R26" s="34">
        <f t="shared" si="11"/>
        <v>585000</v>
      </c>
      <c r="S26" s="34">
        <f t="shared" si="11"/>
        <v>585000</v>
      </c>
      <c r="T26" s="34">
        <f>SUM(T14:T25)</f>
        <v>20475</v>
      </c>
      <c r="U26" s="34">
        <f t="shared" si="11"/>
        <v>0</v>
      </c>
      <c r="V26" s="34">
        <f t="shared" si="11"/>
        <v>0</v>
      </c>
      <c r="W26" s="34">
        <f t="shared" ref="W26:AC26" si="12">SUM(W14:W25)</f>
        <v>4</v>
      </c>
      <c r="X26" s="34">
        <f t="shared" si="12"/>
        <v>0</v>
      </c>
      <c r="Y26" s="33">
        <f t="shared" si="12"/>
        <v>0</v>
      </c>
      <c r="Z26" s="33">
        <f t="shared" si="12"/>
        <v>650000</v>
      </c>
      <c r="AA26" s="33">
        <f t="shared" si="12"/>
        <v>650000</v>
      </c>
      <c r="AB26" s="33">
        <f t="shared" si="12"/>
        <v>13000</v>
      </c>
      <c r="AC26" s="33">
        <f t="shared" si="12"/>
        <v>13000</v>
      </c>
      <c r="AD26" s="33">
        <f>IF(D26&gt;0,D26/W26,0)</f>
        <v>212500</v>
      </c>
      <c r="AE26" s="33">
        <f t="shared" ref="AE26:AF26" si="13">SUM(AE14:AE25)</f>
        <v>430000</v>
      </c>
      <c r="AF26" s="33">
        <f t="shared" si="13"/>
        <v>420000</v>
      </c>
    </row>
    <row r="27" spans="1:32" x14ac:dyDescent="0.2">
      <c r="A27" s="22"/>
      <c r="B27" s="22"/>
      <c r="C27" s="22"/>
      <c r="D27" s="22"/>
      <c r="E27" s="22"/>
      <c r="F27" s="25"/>
      <c r="G27" s="25"/>
    </row>
    <row r="28" spans="1:32" x14ac:dyDescent="0.2">
      <c r="A28" s="36" t="s">
        <v>62</v>
      </c>
    </row>
    <row r="30" spans="1:32" x14ac:dyDescent="0.2">
      <c r="A30" s="22"/>
      <c r="B30" s="22"/>
      <c r="C30" s="22"/>
      <c r="D30" s="22"/>
      <c r="E30" s="22"/>
      <c r="F30" s="25"/>
      <c r="G30" s="25"/>
    </row>
    <row r="31" spans="1:32" x14ac:dyDescent="0.2">
      <c r="A31" s="36" t="s">
        <v>63</v>
      </c>
    </row>
    <row r="33" spans="1:7" x14ac:dyDescent="0.2">
      <c r="A33" s="22"/>
      <c r="B33" s="22"/>
      <c r="C33" s="22"/>
      <c r="D33" s="22"/>
      <c r="E33" s="22"/>
      <c r="F33" s="25"/>
      <c r="G33" s="25"/>
    </row>
    <row r="34" spans="1:7" x14ac:dyDescent="0.2">
      <c r="A34" s="36" t="s">
        <v>73</v>
      </c>
    </row>
    <row r="36" spans="1:7" x14ac:dyDescent="0.2">
      <c r="A36" s="22"/>
      <c r="B36" s="22"/>
      <c r="C36" s="22"/>
      <c r="D36" s="22"/>
    </row>
    <row r="37" spans="1:7" x14ac:dyDescent="0.2">
      <c r="A37" s="36" t="s">
        <v>64</v>
      </c>
    </row>
    <row r="38" spans="1:7" x14ac:dyDescent="0.2">
      <c r="A38" s="25"/>
      <c r="B38" s="25"/>
      <c r="C38" s="25"/>
      <c r="D38" s="25"/>
      <c r="E38" s="25"/>
      <c r="F38" s="25"/>
      <c r="G38" s="25"/>
    </row>
  </sheetData>
  <mergeCells count="2">
    <mergeCell ref="A11:H11"/>
    <mergeCell ref="A26:B26"/>
  </mergeCells>
  <pageMargins left="0.75" right="0.75" top="1" bottom="1" header="0.5" footer="0.5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6"/>
  <dimension ref="A2:AF38"/>
  <sheetViews>
    <sheetView topLeftCell="A13" workbookViewId="0">
      <pane xSplit="2" ySplit="1" topLeftCell="C14" activePane="bottomRight" state="frozen"/>
      <selection activeCell="A13" sqref="A13"/>
      <selection pane="topRight" activeCell="C13" sqref="C13"/>
      <selection pane="bottomLeft" activeCell="A14" sqref="A14"/>
      <selection pane="bottomRight" activeCell="C18" sqref="C18"/>
    </sheetView>
  </sheetViews>
  <sheetFormatPr defaultColWidth="8.7109375" defaultRowHeight="12.75" x14ac:dyDescent="0.2"/>
  <cols>
    <col min="1" max="1" width="5.85546875" style="16" customWidth="1"/>
    <col min="2" max="2" width="18.5703125" style="16" customWidth="1"/>
    <col min="3" max="3" width="14.5703125" style="16" customWidth="1"/>
    <col min="4" max="4" width="14.7109375" style="16" customWidth="1"/>
    <col min="5" max="5" width="13.140625" style="16" bestFit="1" customWidth="1"/>
    <col min="6" max="6" width="10.7109375" style="16" customWidth="1"/>
    <col min="7" max="8" width="8.7109375" style="16" bestFit="1" customWidth="1"/>
    <col min="9" max="9" width="11" style="16" customWidth="1"/>
    <col min="10" max="10" width="11.7109375" style="16" customWidth="1"/>
    <col min="11" max="11" width="10" style="16" customWidth="1"/>
    <col min="12" max="12" width="12.5703125" style="16" customWidth="1"/>
    <col min="13" max="13" width="8.7109375" style="16" bestFit="1" customWidth="1"/>
    <col min="14" max="14" width="10.42578125" style="16" customWidth="1"/>
    <col min="15" max="15" width="13.7109375" style="16" customWidth="1"/>
    <col min="16" max="16" width="15.42578125" style="16" customWidth="1"/>
    <col min="17" max="17" width="16" style="16" customWidth="1"/>
    <col min="18" max="18" width="19.7109375" style="16" customWidth="1"/>
    <col min="19" max="19" width="13" style="16" customWidth="1"/>
    <col min="20" max="20" width="12" style="16" bestFit="1" customWidth="1"/>
    <col min="21" max="21" width="8.85546875" style="16" bestFit="1" customWidth="1"/>
    <col min="22" max="23" width="8.7109375" style="16" bestFit="1" customWidth="1"/>
    <col min="24" max="24" width="15.28515625" style="19" bestFit="1" customWidth="1"/>
    <col min="25" max="26" width="14.7109375" style="16" bestFit="1" customWidth="1"/>
    <col min="27" max="27" width="13.140625" style="16" bestFit="1" customWidth="1"/>
    <col min="28" max="28" width="11.85546875" style="16" customWidth="1"/>
    <col min="29" max="29" width="13.5703125" style="16" bestFit="1" customWidth="1"/>
    <col min="30" max="31" width="11.7109375" style="16" customWidth="1"/>
    <col min="32" max="32" width="13.140625" style="16" bestFit="1" customWidth="1"/>
    <col min="33" max="16384" width="8.7109375" style="16"/>
  </cols>
  <sheetData>
    <row r="2" spans="1:32" x14ac:dyDescent="0.2">
      <c r="K2" s="18"/>
      <c r="S2" s="17" t="s">
        <v>14</v>
      </c>
    </row>
    <row r="3" spans="1:32" x14ac:dyDescent="0.2">
      <c r="A3" s="20"/>
      <c r="B3" s="20"/>
      <c r="C3" s="20"/>
      <c r="D3" s="20"/>
    </row>
    <row r="4" spans="1:32" x14ac:dyDescent="0.2">
      <c r="A4" s="20"/>
      <c r="B4" s="20"/>
      <c r="C4" s="20"/>
      <c r="D4" s="20"/>
    </row>
    <row r="5" spans="1:32" x14ac:dyDescent="0.2">
      <c r="A5" s="21" t="s">
        <v>67</v>
      </c>
      <c r="B5" s="22"/>
      <c r="C5" s="21"/>
      <c r="D5" s="21"/>
    </row>
    <row r="7" spans="1:32" x14ac:dyDescent="0.2">
      <c r="A7" s="16">
        <v>1</v>
      </c>
      <c r="B7" s="21" t="s">
        <v>68</v>
      </c>
      <c r="C7" s="21"/>
      <c r="D7" s="21"/>
    </row>
    <row r="8" spans="1:32" x14ac:dyDescent="0.2">
      <c r="A8" s="16">
        <v>2</v>
      </c>
      <c r="B8" s="23" t="s">
        <v>15</v>
      </c>
      <c r="C8" s="23"/>
      <c r="D8" s="24">
        <f>'910.00'!D8</f>
        <v>111111111111</v>
      </c>
    </row>
    <row r="9" spans="1:32" x14ac:dyDescent="0.2">
      <c r="A9" s="16">
        <v>3</v>
      </c>
      <c r="B9" s="21" t="s">
        <v>90</v>
      </c>
      <c r="C9" s="21"/>
      <c r="D9" s="21" t="str">
        <f>IF('910.00'!L12=1,"март","сентябрь")</f>
        <v>март</v>
      </c>
      <c r="E9" s="16">
        <f>'910.00'!O12</f>
        <v>2021</v>
      </c>
    </row>
    <row r="10" spans="1:32" x14ac:dyDescent="0.2">
      <c r="A10" s="25"/>
      <c r="B10" s="25"/>
      <c r="C10" s="25"/>
      <c r="D10" s="25"/>
      <c r="E10" s="25"/>
      <c r="F10" s="25"/>
      <c r="G10" s="25"/>
    </row>
    <row r="11" spans="1:32" ht="43.5" customHeight="1" x14ac:dyDescent="0.2">
      <c r="A11" s="401" t="s">
        <v>162</v>
      </c>
      <c r="B11" s="401"/>
      <c r="C11" s="401"/>
      <c r="D11" s="401"/>
      <c r="E11" s="401"/>
      <c r="F11" s="401"/>
      <c r="G11" s="401"/>
      <c r="H11" s="401"/>
    </row>
    <row r="12" spans="1:32" x14ac:dyDescent="0.2">
      <c r="A12" s="25"/>
      <c r="B12" s="25"/>
      <c r="C12" s="25"/>
      <c r="D12" s="25"/>
      <c r="E12" s="25"/>
      <c r="F12" s="25"/>
      <c r="G12" s="25"/>
    </row>
    <row r="13" spans="1:32" ht="153" x14ac:dyDescent="0.2">
      <c r="A13" s="13" t="s">
        <v>69</v>
      </c>
      <c r="B13" s="13" t="s">
        <v>70</v>
      </c>
      <c r="C13" s="13" t="s">
        <v>376</v>
      </c>
      <c r="D13" s="13" t="s">
        <v>71</v>
      </c>
      <c r="E13" s="13" t="s">
        <v>196</v>
      </c>
      <c r="F13" s="13" t="s">
        <v>195</v>
      </c>
      <c r="G13" s="13" t="s">
        <v>261</v>
      </c>
      <c r="H13" s="13" t="s">
        <v>194</v>
      </c>
      <c r="I13" s="13" t="s">
        <v>259</v>
      </c>
      <c r="J13" s="13" t="s">
        <v>74</v>
      </c>
      <c r="K13" s="13" t="s">
        <v>129</v>
      </c>
      <c r="L13" s="13" t="s">
        <v>130</v>
      </c>
      <c r="M13" s="13" t="s">
        <v>75</v>
      </c>
      <c r="N13" s="13" t="s">
        <v>76</v>
      </c>
      <c r="O13" s="13" t="s">
        <v>101</v>
      </c>
      <c r="P13" s="13" t="s">
        <v>77</v>
      </c>
      <c r="Q13" s="13" t="s">
        <v>78</v>
      </c>
      <c r="R13" s="13" t="s">
        <v>79</v>
      </c>
      <c r="S13" s="13" t="s">
        <v>80</v>
      </c>
      <c r="T13" s="13" t="s">
        <v>81</v>
      </c>
      <c r="U13" s="13" t="s">
        <v>91</v>
      </c>
      <c r="V13" s="13" t="s">
        <v>92</v>
      </c>
      <c r="W13" s="13" t="s">
        <v>93</v>
      </c>
      <c r="X13" s="13" t="s">
        <v>118</v>
      </c>
      <c r="Y13" s="13"/>
      <c r="Z13" s="13" t="s">
        <v>176</v>
      </c>
      <c r="AA13" s="13" t="s">
        <v>119</v>
      </c>
      <c r="AB13" s="13" t="s">
        <v>121</v>
      </c>
      <c r="AC13" s="13" t="s">
        <v>191</v>
      </c>
      <c r="AD13" s="13" t="s">
        <v>126</v>
      </c>
      <c r="AE13" s="13" t="s">
        <v>254</v>
      </c>
      <c r="AF13" s="13" t="s">
        <v>255</v>
      </c>
    </row>
    <row r="14" spans="1:32" x14ac:dyDescent="0.2">
      <c r="A14" s="26">
        <v>1</v>
      </c>
      <c r="B14" s="26" t="s">
        <v>371</v>
      </c>
      <c r="C14" s="28">
        <v>1</v>
      </c>
      <c r="D14" s="30">
        <v>250000</v>
      </c>
      <c r="E14" s="29">
        <f>IF(C14&gt;=3,0,IF((D14-P14)&gt;введ!C$11,введ!C$11,IF((D14-P14)&lt;=введ!C$11,D14-P14,0)))</f>
        <v>42500</v>
      </c>
      <c r="F14" s="29">
        <f>IF(AC14&gt;0,AC14,0)</f>
        <v>5000</v>
      </c>
      <c r="G14" s="30"/>
      <c r="H14" s="30"/>
      <c r="I14" s="30"/>
      <c r="J14" s="33">
        <f t="shared" ref="J14:J16" si="0">IF(C14&gt;=3,D14-I14,D14-I14-E14-P14-F14-H14-G14)</f>
        <v>177500</v>
      </c>
      <c r="K14" s="11">
        <f>IF(C14=0,0,IF(C14&gt;1,0,IF(D14&lt;=введ!C$20*25,J14/100,J14/10)))</f>
        <v>17750</v>
      </c>
      <c r="L14" s="11">
        <f>IF(C14=0,0,IF(C14=1,0,IF(C14&gt;=3,J14/10,IF(C14=2,IF(D14&lt;=введ!C$20*25,J14/100,J14/10)))))</f>
        <v>0</v>
      </c>
      <c r="M14" s="30"/>
      <c r="N14" s="33">
        <f t="shared" ref="N14:N25" si="1">IF(C14=3,0,IF(O14=1,0,D14-M14))</f>
        <v>250000</v>
      </c>
      <c r="O14" s="26"/>
      <c r="P14" s="33">
        <f>N14*10%</f>
        <v>25000</v>
      </c>
      <c r="Q14" s="30"/>
      <c r="R14" s="33">
        <f t="shared" ref="R14:R25" si="2">IF(C14=3,0,IF(O14=1,0,D14-P14-Q14))</f>
        <v>225000</v>
      </c>
      <c r="S14" s="33">
        <f>IF(OR(R14&lt;=0,),0,MIN(MAX(введ!$C$11,R14),введ!$C$14))</f>
        <v>225000</v>
      </c>
      <c r="T14" s="33">
        <f>ROUND(S14*введ!C$15,0)</f>
        <v>7875</v>
      </c>
      <c r="U14" s="30"/>
      <c r="V14" s="33">
        <f>ROUND(U14*0.05,0)</f>
        <v>0</v>
      </c>
      <c r="W14" s="34">
        <f t="shared" ref="W14:W25" si="3">IF(D14=0,0,1)</f>
        <v>1</v>
      </c>
      <c r="X14" s="30"/>
      <c r="Y14" s="10"/>
      <c r="Z14" s="33">
        <f t="shared" ref="Z14:Z25" si="4">IF(C14=3,0,IF(O14=1,0,D14-X14))</f>
        <v>250000</v>
      </c>
      <c r="AA14" s="33">
        <f>IF(OR(Z14&lt;=0,),0,MIN(MIN(введ!$C$17,Z14),введ!$C$17))</f>
        <v>250000</v>
      </c>
      <c r="AB14" s="33">
        <f>AA14*введ!C$18</f>
        <v>5000</v>
      </c>
      <c r="AC14" s="33">
        <f>AA14*введ!C$22</f>
        <v>5000</v>
      </c>
      <c r="AD14" s="33"/>
      <c r="AE14" s="33">
        <f t="shared" ref="AE14:AE25" si="5">IF(C14=1,D14,0)</f>
        <v>250000</v>
      </c>
      <c r="AF14" s="33">
        <f t="shared" ref="AF14:AF25" si="6">IF(C14&gt;1,D14,0)</f>
        <v>0</v>
      </c>
    </row>
    <row r="15" spans="1:32" x14ac:dyDescent="0.2">
      <c r="A15" s="26">
        <v>2</v>
      </c>
      <c r="B15" s="26" t="s">
        <v>372</v>
      </c>
      <c r="C15" s="28">
        <v>1</v>
      </c>
      <c r="D15" s="30">
        <v>180000</v>
      </c>
      <c r="E15" s="29">
        <f>IF(C15&gt;=3,0,IF((D15-P15)&gt;введ!C$11,введ!C$11,IF((D15-P15)&lt;=введ!C$11,D15-P15,0)))</f>
        <v>42500</v>
      </c>
      <c r="F15" s="29">
        <f t="shared" ref="F15:F25" si="7">IF(AC15&gt;0,AC15,0)</f>
        <v>3600</v>
      </c>
      <c r="G15" s="30"/>
      <c r="H15" s="30"/>
      <c r="I15" s="30"/>
      <c r="J15" s="33">
        <f t="shared" si="0"/>
        <v>115900</v>
      </c>
      <c r="K15" s="11">
        <f>IF(C15=0,0,IF(C15&gt;1,0,IF(D15&lt;=введ!C$20*25,J15/100,J15/10)))</f>
        <v>11590</v>
      </c>
      <c r="L15" s="11">
        <f>IF(C15=0,0,IF(C15=1,0,IF(C15&gt;=3,J15/10,IF(C15=2,IF(D15&lt;=введ!C$20*25,J15/100,J15/10)))))</f>
        <v>0</v>
      </c>
      <c r="M15" s="30"/>
      <c r="N15" s="33">
        <f t="shared" si="1"/>
        <v>180000</v>
      </c>
      <c r="O15" s="26"/>
      <c r="P15" s="33">
        <f t="shared" ref="P15:P25" si="8">N15*10%</f>
        <v>18000</v>
      </c>
      <c r="Q15" s="30"/>
      <c r="R15" s="33">
        <f t="shared" si="2"/>
        <v>162000</v>
      </c>
      <c r="S15" s="33">
        <f>IF(OR(R15&lt;=0,),0,MIN(MAX(введ!$C$11,R15),введ!$C$14))</f>
        <v>162000</v>
      </c>
      <c r="T15" s="33">
        <f>ROUND(S15*введ!C$15,0)</f>
        <v>5670</v>
      </c>
      <c r="U15" s="30"/>
      <c r="V15" s="33">
        <f t="shared" ref="V15:V25" si="9">ROUND(U15*0.05,0)</f>
        <v>0</v>
      </c>
      <c r="W15" s="34">
        <f t="shared" si="3"/>
        <v>1</v>
      </c>
      <c r="X15" s="30"/>
      <c r="Y15" s="10"/>
      <c r="Z15" s="33">
        <f t="shared" si="4"/>
        <v>180000</v>
      </c>
      <c r="AA15" s="33">
        <f>IF(OR(Z15&lt;=0,),0,MIN(MIN(введ!$C$17,Z15),введ!$C$17))</f>
        <v>180000</v>
      </c>
      <c r="AB15" s="33">
        <f>AA15*введ!C$18</f>
        <v>3600</v>
      </c>
      <c r="AC15" s="33">
        <f>AA15*введ!C$22</f>
        <v>3600</v>
      </c>
      <c r="AD15" s="33"/>
      <c r="AE15" s="33">
        <f t="shared" si="5"/>
        <v>180000</v>
      </c>
      <c r="AF15" s="33">
        <f t="shared" si="6"/>
        <v>0</v>
      </c>
    </row>
    <row r="16" spans="1:32" x14ac:dyDescent="0.2">
      <c r="A16" s="26">
        <v>3</v>
      </c>
      <c r="B16" s="26" t="s">
        <v>375</v>
      </c>
      <c r="C16" s="28">
        <v>3</v>
      </c>
      <c r="D16" s="30">
        <v>200000</v>
      </c>
      <c r="E16" s="29">
        <f>IF(C16&gt;=3,0,IF((D16-P16)&gt;введ!C$11,введ!C$11,IF((D16-P16)&lt;=введ!C$11,D16-P16,0)))</f>
        <v>0</v>
      </c>
      <c r="F16" s="29">
        <f t="shared" si="7"/>
        <v>0</v>
      </c>
      <c r="G16" s="30"/>
      <c r="H16" s="30"/>
      <c r="I16" s="30"/>
      <c r="J16" s="33">
        <f t="shared" si="0"/>
        <v>200000</v>
      </c>
      <c r="K16" s="11">
        <f>IF(C16=0,0,IF(C16&gt;1,0,IF(D16&lt;=введ!C$20*25,J16/100,J16/10)))</f>
        <v>0</v>
      </c>
      <c r="L16" s="11">
        <f>IF(C16=0,0,IF(C16=1,0,IF(C16&gt;=3,J16/10,IF(C16=2,IF(D16&lt;=введ!C$20*25,J16/100,J16/10)))))</f>
        <v>20000</v>
      </c>
      <c r="M16" s="30"/>
      <c r="N16" s="33">
        <f t="shared" si="1"/>
        <v>0</v>
      </c>
      <c r="O16" s="26"/>
      <c r="P16" s="33">
        <f t="shared" si="8"/>
        <v>0</v>
      </c>
      <c r="Q16" s="30"/>
      <c r="R16" s="33">
        <f t="shared" si="2"/>
        <v>0</v>
      </c>
      <c r="S16" s="33">
        <f>IF(OR(R16&lt;=0,),0,MIN(MAX(введ!$C$11,R16),введ!$C$14))</f>
        <v>0</v>
      </c>
      <c r="T16" s="33">
        <f>ROUND(S16*введ!C$15,0)</f>
        <v>0</v>
      </c>
      <c r="U16" s="30"/>
      <c r="V16" s="33">
        <f t="shared" si="9"/>
        <v>0</v>
      </c>
      <c r="W16" s="34">
        <f t="shared" si="3"/>
        <v>1</v>
      </c>
      <c r="X16" s="30"/>
      <c r="Y16" s="10"/>
      <c r="Z16" s="33">
        <f t="shared" si="4"/>
        <v>0</v>
      </c>
      <c r="AA16" s="33">
        <f>IF(OR(Z16&lt;=0,),0,MIN(MIN(введ!$C$17,Z16),введ!$C$17))</f>
        <v>0</v>
      </c>
      <c r="AB16" s="33">
        <f>AA16*введ!C$18</f>
        <v>0</v>
      </c>
      <c r="AC16" s="33">
        <f>AA16*введ!C$22</f>
        <v>0</v>
      </c>
      <c r="AD16" s="33"/>
      <c r="AE16" s="33">
        <f t="shared" si="5"/>
        <v>0</v>
      </c>
      <c r="AF16" s="33">
        <f t="shared" si="6"/>
        <v>200000</v>
      </c>
    </row>
    <row r="17" spans="1:32" x14ac:dyDescent="0.2">
      <c r="A17" s="26">
        <v>4</v>
      </c>
      <c r="B17" s="26" t="s">
        <v>373</v>
      </c>
      <c r="C17" s="28">
        <v>2</v>
      </c>
      <c r="D17" s="30">
        <v>220000</v>
      </c>
      <c r="E17" s="29">
        <f>IF(C17&gt;=3,0,IF((D17-P17)&gt;введ!C$11,введ!C$11,IF((D17-P17)&lt;=введ!C$11,D17-P17,0)))</f>
        <v>42500</v>
      </c>
      <c r="F17" s="29">
        <f t="shared" si="7"/>
        <v>4400</v>
      </c>
      <c r="G17" s="30"/>
      <c r="H17" s="30"/>
      <c r="I17" s="30"/>
      <c r="J17" s="33">
        <f>IF(C17&gt;=3,D17-I17,D17-I17-E17-P17-F17-H17-G17)</f>
        <v>151100</v>
      </c>
      <c r="K17" s="11">
        <f>IF(C17=0,0,IF(C17&gt;1,0,IF(D17&lt;=введ!C$20*25,J17/100,J17/10)))</f>
        <v>0</v>
      </c>
      <c r="L17" s="11">
        <f>IF(C17=0,0,IF(C17=1,0,IF(C17&gt;=3,J17/10,IF(C17=2,IF(D17&lt;=введ!C$20*25,J17/100,J17/10)))))</f>
        <v>15110</v>
      </c>
      <c r="M17" s="30"/>
      <c r="N17" s="33">
        <f t="shared" si="1"/>
        <v>220000</v>
      </c>
      <c r="O17" s="26"/>
      <c r="P17" s="33">
        <f t="shared" si="8"/>
        <v>22000</v>
      </c>
      <c r="Q17" s="30"/>
      <c r="R17" s="33">
        <f t="shared" si="2"/>
        <v>198000</v>
      </c>
      <c r="S17" s="33">
        <f>IF(OR(R17&lt;=0,),0,MIN(MAX(введ!$C$11,R17),введ!$C$14))</f>
        <v>198000</v>
      </c>
      <c r="T17" s="33">
        <f>ROUND(S17*введ!C$15,0)</f>
        <v>6930</v>
      </c>
      <c r="U17" s="30"/>
      <c r="V17" s="33">
        <f t="shared" si="9"/>
        <v>0</v>
      </c>
      <c r="W17" s="34">
        <f t="shared" si="3"/>
        <v>1</v>
      </c>
      <c r="X17" s="30"/>
      <c r="Y17" s="10"/>
      <c r="Z17" s="33">
        <f t="shared" si="4"/>
        <v>220000</v>
      </c>
      <c r="AA17" s="33">
        <f>IF(OR(Z17&lt;=0,),0,MIN(MIN(введ!$C$17,Z17),введ!$C$17))</f>
        <v>220000</v>
      </c>
      <c r="AB17" s="33">
        <f>AA17*введ!C$18</f>
        <v>4400</v>
      </c>
      <c r="AC17" s="33">
        <f>AA17*введ!C$22</f>
        <v>4400</v>
      </c>
      <c r="AD17" s="33"/>
      <c r="AE17" s="33">
        <f t="shared" si="5"/>
        <v>0</v>
      </c>
      <c r="AF17" s="33">
        <f t="shared" si="6"/>
        <v>220000</v>
      </c>
    </row>
    <row r="18" spans="1:32" x14ac:dyDescent="0.2">
      <c r="A18" s="26">
        <v>5</v>
      </c>
      <c r="B18" s="26"/>
      <c r="C18" s="28"/>
      <c r="D18" s="30"/>
      <c r="E18" s="29">
        <f>IF(C18&gt;=3,0,IF((D18-P18)&gt;введ!C$11,введ!C$11,IF((D18-P18)&lt;=введ!C$11,D18-P18,0)))</f>
        <v>0</v>
      </c>
      <c r="F18" s="29">
        <f t="shared" si="7"/>
        <v>0</v>
      </c>
      <c r="G18" s="30"/>
      <c r="H18" s="30"/>
      <c r="I18" s="30"/>
      <c r="J18" s="33">
        <f t="shared" ref="J18:J25" si="10">IF(C18&gt;=3,D18-I18,D18-I18-E18-P18-F18-H18-G18)</f>
        <v>0</v>
      </c>
      <c r="K18" s="11">
        <f>IF(C18=0,0,IF(C18&gt;1,0,IF(D18&lt;=введ!C$20*25,J18/100,J18/10)))</f>
        <v>0</v>
      </c>
      <c r="L18" s="11">
        <f>IF(C18=0,0,IF(C18=1,0,IF(C18&gt;=3,J18/10,IF(C18=2,IF(D18&lt;=введ!C$20*25,J18/100,J18/10)))))</f>
        <v>0</v>
      </c>
      <c r="M18" s="30"/>
      <c r="N18" s="33">
        <f t="shared" si="1"/>
        <v>0</v>
      </c>
      <c r="O18" s="26"/>
      <c r="P18" s="33">
        <f t="shared" si="8"/>
        <v>0</v>
      </c>
      <c r="Q18" s="30"/>
      <c r="R18" s="33">
        <f t="shared" si="2"/>
        <v>0</v>
      </c>
      <c r="S18" s="33">
        <f>IF(OR(R18&lt;=0,),0,MIN(MAX(введ!$C$11,R18),введ!$C$14))</f>
        <v>0</v>
      </c>
      <c r="T18" s="33">
        <f>ROUND(S18*введ!C$15,0)</f>
        <v>0</v>
      </c>
      <c r="U18" s="30"/>
      <c r="V18" s="33">
        <f t="shared" si="9"/>
        <v>0</v>
      </c>
      <c r="W18" s="34">
        <f t="shared" si="3"/>
        <v>0</v>
      </c>
      <c r="X18" s="30"/>
      <c r="Y18" s="10"/>
      <c r="Z18" s="33">
        <f t="shared" si="4"/>
        <v>0</v>
      </c>
      <c r="AA18" s="33">
        <f>IF(OR(Z18&lt;=0,),0,MIN(MIN(введ!$C$17,Z18),введ!$C$17))</f>
        <v>0</v>
      </c>
      <c r="AB18" s="33">
        <f>AA18*введ!C$18</f>
        <v>0</v>
      </c>
      <c r="AC18" s="33">
        <f>AA18*введ!C$22</f>
        <v>0</v>
      </c>
      <c r="AD18" s="33"/>
      <c r="AE18" s="33">
        <f t="shared" si="5"/>
        <v>0</v>
      </c>
      <c r="AF18" s="33">
        <f t="shared" si="6"/>
        <v>0</v>
      </c>
    </row>
    <row r="19" spans="1:32" x14ac:dyDescent="0.2">
      <c r="A19" s="26">
        <v>6</v>
      </c>
      <c r="B19" s="26"/>
      <c r="C19" s="28"/>
      <c r="D19" s="30"/>
      <c r="E19" s="29">
        <f>IF(C19&gt;=3,0,IF((D19-P19)&gt;введ!C$11,введ!C$11,IF((D19-P19)&lt;=введ!C$11,D19-P19,0)))</f>
        <v>0</v>
      </c>
      <c r="F19" s="29">
        <f t="shared" si="7"/>
        <v>0</v>
      </c>
      <c r="G19" s="30"/>
      <c r="H19" s="30"/>
      <c r="I19" s="30"/>
      <c r="J19" s="33">
        <f t="shared" si="10"/>
        <v>0</v>
      </c>
      <c r="K19" s="11">
        <f>IF(C19=0,0,IF(C19&gt;1,0,IF(D19&lt;=введ!C$20*25,J19/100,J19/10)))</f>
        <v>0</v>
      </c>
      <c r="L19" s="11">
        <f>IF(C19=0,0,IF(C19=1,0,IF(C19&gt;=3,J19/10,IF(C19=2,IF(D19&lt;=введ!C$20*25,J19/100,J19/10)))))</f>
        <v>0</v>
      </c>
      <c r="M19" s="30"/>
      <c r="N19" s="33">
        <f t="shared" si="1"/>
        <v>0</v>
      </c>
      <c r="O19" s="26"/>
      <c r="P19" s="33">
        <f t="shared" si="8"/>
        <v>0</v>
      </c>
      <c r="Q19" s="30"/>
      <c r="R19" s="33">
        <f t="shared" si="2"/>
        <v>0</v>
      </c>
      <c r="S19" s="33">
        <f>IF(OR(R19&lt;=0,),0,MIN(MAX(введ!$C$11,R19),введ!$C$14))</f>
        <v>0</v>
      </c>
      <c r="T19" s="33">
        <f>ROUND(S19*введ!C$15,0)</f>
        <v>0</v>
      </c>
      <c r="U19" s="30"/>
      <c r="V19" s="33">
        <f t="shared" si="9"/>
        <v>0</v>
      </c>
      <c r="W19" s="34">
        <f t="shared" si="3"/>
        <v>0</v>
      </c>
      <c r="X19" s="30"/>
      <c r="Y19" s="10"/>
      <c r="Z19" s="33">
        <f t="shared" si="4"/>
        <v>0</v>
      </c>
      <c r="AA19" s="33">
        <f>IF(OR(Z19&lt;=0,),0,MIN(MIN(введ!$C$17,Z19),введ!$C$17))</f>
        <v>0</v>
      </c>
      <c r="AB19" s="33">
        <f>AA19*введ!C$18</f>
        <v>0</v>
      </c>
      <c r="AC19" s="33">
        <f>AA19*введ!C$22</f>
        <v>0</v>
      </c>
      <c r="AD19" s="33"/>
      <c r="AE19" s="33">
        <f t="shared" si="5"/>
        <v>0</v>
      </c>
      <c r="AF19" s="33">
        <f t="shared" si="6"/>
        <v>0</v>
      </c>
    </row>
    <row r="20" spans="1:32" x14ac:dyDescent="0.2">
      <c r="A20" s="26">
        <v>7</v>
      </c>
      <c r="B20" s="26"/>
      <c r="C20" s="28"/>
      <c r="D20" s="30"/>
      <c r="E20" s="29">
        <f>IF(C20&gt;=3,0,IF((D20-P20)&gt;введ!C$11,введ!C$11,IF((D20-P20)&lt;=введ!C$11,D20-P20,0)))</f>
        <v>0</v>
      </c>
      <c r="F20" s="29">
        <f t="shared" si="7"/>
        <v>0</v>
      </c>
      <c r="G20" s="30"/>
      <c r="H20" s="30"/>
      <c r="I20" s="30"/>
      <c r="J20" s="33">
        <f t="shared" si="10"/>
        <v>0</v>
      </c>
      <c r="K20" s="11">
        <f>IF(C20=0,0,IF(C20&gt;1,0,IF(D20&lt;=введ!C$20*25,J20/100,J20/10)))</f>
        <v>0</v>
      </c>
      <c r="L20" s="11">
        <f>IF(C20=0,0,IF(C20=1,0,IF(C20&gt;=3,J20/10,IF(C20=2,IF(D20&lt;=введ!C$20*25,J20/100,J20/10)))))</f>
        <v>0</v>
      </c>
      <c r="M20" s="30"/>
      <c r="N20" s="33">
        <f t="shared" si="1"/>
        <v>0</v>
      </c>
      <c r="O20" s="26"/>
      <c r="P20" s="33">
        <f t="shared" si="8"/>
        <v>0</v>
      </c>
      <c r="Q20" s="30"/>
      <c r="R20" s="33">
        <f t="shared" si="2"/>
        <v>0</v>
      </c>
      <c r="S20" s="33">
        <f>IF(OR(R20&lt;=0,),0,MIN(MAX(введ!$C$11,R20),введ!$C$14))</f>
        <v>0</v>
      </c>
      <c r="T20" s="33">
        <f>ROUND(S20*введ!C$15,0)</f>
        <v>0</v>
      </c>
      <c r="U20" s="30"/>
      <c r="V20" s="33">
        <f t="shared" si="9"/>
        <v>0</v>
      </c>
      <c r="W20" s="34">
        <f t="shared" si="3"/>
        <v>0</v>
      </c>
      <c r="X20" s="30"/>
      <c r="Y20" s="10"/>
      <c r="Z20" s="33">
        <f t="shared" si="4"/>
        <v>0</v>
      </c>
      <c r="AA20" s="33">
        <f>IF(OR(Z20&lt;=0,),0,MIN(MIN(введ!$C$17,Z20),введ!$C$17))</f>
        <v>0</v>
      </c>
      <c r="AB20" s="33">
        <f>AA20*введ!C$18</f>
        <v>0</v>
      </c>
      <c r="AC20" s="33">
        <f>AA20*введ!C$22</f>
        <v>0</v>
      </c>
      <c r="AD20" s="33"/>
      <c r="AE20" s="33">
        <f t="shared" si="5"/>
        <v>0</v>
      </c>
      <c r="AF20" s="33">
        <f t="shared" si="6"/>
        <v>0</v>
      </c>
    </row>
    <row r="21" spans="1:32" x14ac:dyDescent="0.2">
      <c r="A21" s="26">
        <v>8</v>
      </c>
      <c r="B21" s="26"/>
      <c r="C21" s="28"/>
      <c r="D21" s="30"/>
      <c r="E21" s="29">
        <f>IF(C21&gt;=3,0,IF((D21-P21)&gt;введ!C$11,введ!C$11,IF((D21-P21)&lt;=введ!C$11,D21-P21,0)))</f>
        <v>0</v>
      </c>
      <c r="F21" s="29">
        <f t="shared" si="7"/>
        <v>0</v>
      </c>
      <c r="G21" s="30"/>
      <c r="H21" s="30"/>
      <c r="I21" s="30"/>
      <c r="J21" s="33">
        <f t="shared" si="10"/>
        <v>0</v>
      </c>
      <c r="K21" s="11">
        <f>IF(C21=0,0,IF(C21&gt;1,0,IF(D21&lt;=введ!C$20*25,J21/100,J21/10)))</f>
        <v>0</v>
      </c>
      <c r="L21" s="11">
        <f>IF(C21=0,0,IF(C21=1,0,IF(C21&gt;=3,J21/10,IF(C21=2,IF(D21&lt;=введ!C$20*25,J21/100,J21/10)))))</f>
        <v>0</v>
      </c>
      <c r="M21" s="30"/>
      <c r="N21" s="33">
        <f t="shared" si="1"/>
        <v>0</v>
      </c>
      <c r="O21" s="26"/>
      <c r="P21" s="33">
        <f t="shared" si="8"/>
        <v>0</v>
      </c>
      <c r="Q21" s="30"/>
      <c r="R21" s="33">
        <f t="shared" si="2"/>
        <v>0</v>
      </c>
      <c r="S21" s="33">
        <f>IF(OR(R21&lt;=0,),0,MIN(MAX(введ!$C$11,R21),введ!$C$14))</f>
        <v>0</v>
      </c>
      <c r="T21" s="33">
        <f>ROUND(S21*введ!C$15,0)</f>
        <v>0</v>
      </c>
      <c r="U21" s="30"/>
      <c r="V21" s="33">
        <f t="shared" si="9"/>
        <v>0</v>
      </c>
      <c r="W21" s="34">
        <f t="shared" si="3"/>
        <v>0</v>
      </c>
      <c r="X21" s="30"/>
      <c r="Y21" s="10"/>
      <c r="Z21" s="33">
        <f t="shared" si="4"/>
        <v>0</v>
      </c>
      <c r="AA21" s="33">
        <f>IF(OR(Z21&lt;=0,),0,MIN(MIN(введ!$C$17,Z21),введ!$C$17))</f>
        <v>0</v>
      </c>
      <c r="AB21" s="33">
        <f>AA21*введ!C$18</f>
        <v>0</v>
      </c>
      <c r="AC21" s="33">
        <f>AA21*введ!C$22</f>
        <v>0</v>
      </c>
      <c r="AD21" s="33"/>
      <c r="AE21" s="33">
        <f t="shared" si="5"/>
        <v>0</v>
      </c>
      <c r="AF21" s="33">
        <f t="shared" si="6"/>
        <v>0</v>
      </c>
    </row>
    <row r="22" spans="1:32" x14ac:dyDescent="0.2">
      <c r="A22" s="26">
        <v>9</v>
      </c>
      <c r="B22" s="26"/>
      <c r="C22" s="28"/>
      <c r="D22" s="30"/>
      <c r="E22" s="29">
        <f>IF(C22&gt;=3,0,IF((D22-P22)&gt;введ!C$11,введ!C$11,IF((D22-P22)&lt;=введ!C$11,D22-P22,0)))</f>
        <v>0</v>
      </c>
      <c r="F22" s="29">
        <f t="shared" si="7"/>
        <v>0</v>
      </c>
      <c r="G22" s="30"/>
      <c r="H22" s="30"/>
      <c r="I22" s="30"/>
      <c r="J22" s="33">
        <f t="shared" si="10"/>
        <v>0</v>
      </c>
      <c r="K22" s="11">
        <f>IF(C22=0,0,IF(C22&gt;1,0,IF(D22&lt;=введ!C$20*25,J22/100,J22/10)))</f>
        <v>0</v>
      </c>
      <c r="L22" s="11">
        <f>IF(C22=0,0,IF(C22=1,0,IF(C22&gt;=3,J22/10,IF(C22=2,IF(D22&lt;=введ!C$20*25,J22/100,J22/10)))))</f>
        <v>0</v>
      </c>
      <c r="M22" s="30"/>
      <c r="N22" s="33">
        <f t="shared" si="1"/>
        <v>0</v>
      </c>
      <c r="O22" s="26"/>
      <c r="P22" s="33">
        <f t="shared" si="8"/>
        <v>0</v>
      </c>
      <c r="Q22" s="30"/>
      <c r="R22" s="33">
        <f t="shared" si="2"/>
        <v>0</v>
      </c>
      <c r="S22" s="33">
        <f>IF(OR(R22&lt;=0,),0,MIN(MAX(введ!$C$11,R22),введ!$C$14))</f>
        <v>0</v>
      </c>
      <c r="T22" s="33">
        <f>ROUND(S22*введ!C$15,0)</f>
        <v>0</v>
      </c>
      <c r="U22" s="30"/>
      <c r="V22" s="33">
        <f t="shared" si="9"/>
        <v>0</v>
      </c>
      <c r="W22" s="34">
        <f t="shared" si="3"/>
        <v>0</v>
      </c>
      <c r="X22" s="30"/>
      <c r="Y22" s="10"/>
      <c r="Z22" s="33">
        <f t="shared" si="4"/>
        <v>0</v>
      </c>
      <c r="AA22" s="33">
        <f>IF(OR(Z22&lt;=0,),0,MIN(MIN(введ!$C$17,Z22),введ!$C$17))</f>
        <v>0</v>
      </c>
      <c r="AB22" s="33">
        <f>AA22*введ!C$18</f>
        <v>0</v>
      </c>
      <c r="AC22" s="33">
        <f>AA22*введ!C$22</f>
        <v>0</v>
      </c>
      <c r="AD22" s="33"/>
      <c r="AE22" s="33">
        <f t="shared" si="5"/>
        <v>0</v>
      </c>
      <c r="AF22" s="33">
        <f t="shared" si="6"/>
        <v>0</v>
      </c>
    </row>
    <row r="23" spans="1:32" x14ac:dyDescent="0.2">
      <c r="A23" s="26">
        <v>10</v>
      </c>
      <c r="B23" s="26"/>
      <c r="C23" s="28"/>
      <c r="D23" s="30"/>
      <c r="E23" s="29">
        <f>IF(C23&gt;=3,0,IF((D23-P23)&gt;введ!C$11,введ!C$11,IF((D23-P23)&lt;=введ!C$11,D23-P23,0)))</f>
        <v>0</v>
      </c>
      <c r="F23" s="29">
        <f t="shared" si="7"/>
        <v>0</v>
      </c>
      <c r="G23" s="30"/>
      <c r="H23" s="30"/>
      <c r="I23" s="30"/>
      <c r="J23" s="33">
        <f t="shared" si="10"/>
        <v>0</v>
      </c>
      <c r="K23" s="11">
        <f>IF(C23=0,0,IF(C23&gt;1,0,IF(D23&lt;=введ!C$20*25,J23/100,J23/10)))</f>
        <v>0</v>
      </c>
      <c r="L23" s="11">
        <f>IF(C23=0,0,IF(C23=1,0,IF(C23&gt;=3,J23/10,IF(C23=2,IF(D23&lt;=введ!C$20*25,J23/100,J23/10)))))</f>
        <v>0</v>
      </c>
      <c r="M23" s="30"/>
      <c r="N23" s="33">
        <f t="shared" si="1"/>
        <v>0</v>
      </c>
      <c r="O23" s="26"/>
      <c r="P23" s="33">
        <f t="shared" si="8"/>
        <v>0</v>
      </c>
      <c r="Q23" s="30"/>
      <c r="R23" s="33">
        <f t="shared" si="2"/>
        <v>0</v>
      </c>
      <c r="S23" s="33">
        <f>IF(OR(R23&lt;=0,),0,MIN(MAX(введ!$C$11,R23),введ!$C$14))</f>
        <v>0</v>
      </c>
      <c r="T23" s="33">
        <f>ROUND(S23*введ!C$15,0)</f>
        <v>0</v>
      </c>
      <c r="U23" s="30"/>
      <c r="V23" s="33">
        <f t="shared" si="9"/>
        <v>0</v>
      </c>
      <c r="W23" s="34">
        <f t="shared" si="3"/>
        <v>0</v>
      </c>
      <c r="X23" s="30"/>
      <c r="Y23" s="10"/>
      <c r="Z23" s="33">
        <f t="shared" si="4"/>
        <v>0</v>
      </c>
      <c r="AA23" s="33">
        <f>IF(OR(Z23&lt;=0,),0,MIN(MIN(введ!$C$17,Z23),введ!$C$17))</f>
        <v>0</v>
      </c>
      <c r="AB23" s="33">
        <f>AA23*введ!C$18</f>
        <v>0</v>
      </c>
      <c r="AC23" s="33">
        <f>AA23*введ!C$22</f>
        <v>0</v>
      </c>
      <c r="AD23" s="33"/>
      <c r="AE23" s="33">
        <f t="shared" si="5"/>
        <v>0</v>
      </c>
      <c r="AF23" s="33">
        <f t="shared" si="6"/>
        <v>0</v>
      </c>
    </row>
    <row r="24" spans="1:32" x14ac:dyDescent="0.2">
      <c r="A24" s="26">
        <v>11</v>
      </c>
      <c r="B24" s="26"/>
      <c r="C24" s="28"/>
      <c r="D24" s="30"/>
      <c r="E24" s="29">
        <f>IF(C24&gt;=3,0,IF((D24-P24)&gt;введ!C$11,введ!C$11,IF((D24-P24)&lt;=введ!C$11,D24-P24,0)))</f>
        <v>0</v>
      </c>
      <c r="F24" s="29">
        <f t="shared" si="7"/>
        <v>0</v>
      </c>
      <c r="G24" s="30"/>
      <c r="H24" s="30"/>
      <c r="I24" s="30"/>
      <c r="J24" s="33">
        <f t="shared" si="10"/>
        <v>0</v>
      </c>
      <c r="K24" s="11">
        <f>IF(C24=0,0,IF(C24&gt;1,0,IF(D24&lt;=введ!C$20*25,J24/100,J24/10)))</f>
        <v>0</v>
      </c>
      <c r="L24" s="11">
        <f>IF(C24=0,0,IF(C24=1,0,IF(C24&gt;=3,J24/10,IF(C24=2,IF(D24&lt;=введ!C$20*25,J24/100,J24/10)))))</f>
        <v>0</v>
      </c>
      <c r="M24" s="30"/>
      <c r="N24" s="33">
        <f t="shared" si="1"/>
        <v>0</v>
      </c>
      <c r="O24" s="26"/>
      <c r="P24" s="33">
        <f t="shared" si="8"/>
        <v>0</v>
      </c>
      <c r="Q24" s="30"/>
      <c r="R24" s="33">
        <f t="shared" si="2"/>
        <v>0</v>
      </c>
      <c r="S24" s="33">
        <f>IF(OR(R24&lt;=0,),0,MIN(MAX(введ!$C$11,R24),введ!$C$14))</f>
        <v>0</v>
      </c>
      <c r="T24" s="33">
        <f>ROUND(S24*введ!C$15,0)</f>
        <v>0</v>
      </c>
      <c r="U24" s="30"/>
      <c r="V24" s="33">
        <f t="shared" si="9"/>
        <v>0</v>
      </c>
      <c r="W24" s="34">
        <f t="shared" si="3"/>
        <v>0</v>
      </c>
      <c r="X24" s="30"/>
      <c r="Y24" s="10"/>
      <c r="Z24" s="33">
        <f t="shared" si="4"/>
        <v>0</v>
      </c>
      <c r="AA24" s="33">
        <f>IF(OR(Z24&lt;=0,),0,MIN(MIN(введ!$C$17,Z24),введ!$C$17))</f>
        <v>0</v>
      </c>
      <c r="AB24" s="33">
        <f>AA24*введ!C$18</f>
        <v>0</v>
      </c>
      <c r="AC24" s="33">
        <f>AA24*введ!C$22</f>
        <v>0</v>
      </c>
      <c r="AD24" s="33"/>
      <c r="AE24" s="33">
        <f t="shared" si="5"/>
        <v>0</v>
      </c>
      <c r="AF24" s="33">
        <f t="shared" si="6"/>
        <v>0</v>
      </c>
    </row>
    <row r="25" spans="1:32" x14ac:dyDescent="0.2">
      <c r="A25" s="26">
        <v>12</v>
      </c>
      <c r="B25" s="26"/>
      <c r="C25" s="28"/>
      <c r="D25" s="30"/>
      <c r="E25" s="29">
        <f>IF(C25&gt;=3,0,IF((D25-P25)&gt;введ!C$11,введ!C$11,IF((D25-P25)&lt;=введ!C$11,D25-P25,0)))</f>
        <v>0</v>
      </c>
      <c r="F25" s="29">
        <f t="shared" si="7"/>
        <v>0</v>
      </c>
      <c r="G25" s="30"/>
      <c r="H25" s="30"/>
      <c r="I25" s="30"/>
      <c r="J25" s="33">
        <f t="shared" si="10"/>
        <v>0</v>
      </c>
      <c r="K25" s="11">
        <f>IF(C25=0,0,IF(C25&gt;1,0,IF(D25&lt;=введ!C$20*25,J25/100,J25/10)))</f>
        <v>0</v>
      </c>
      <c r="L25" s="11">
        <f>IF(C25=0,0,IF(C25=1,0,IF(C25&gt;=3,J25/10,IF(C25=2,IF(D25&lt;=введ!C$20*25,J25/100,J25/10)))))</f>
        <v>0</v>
      </c>
      <c r="M25" s="30"/>
      <c r="N25" s="33">
        <f t="shared" si="1"/>
        <v>0</v>
      </c>
      <c r="O25" s="26"/>
      <c r="P25" s="33">
        <f t="shared" si="8"/>
        <v>0</v>
      </c>
      <c r="Q25" s="30"/>
      <c r="R25" s="33">
        <f t="shared" si="2"/>
        <v>0</v>
      </c>
      <c r="S25" s="33">
        <f>IF(OR(R25&lt;=0,),0,MIN(MAX(введ!$C$11,R25),введ!$C$14))</f>
        <v>0</v>
      </c>
      <c r="T25" s="33">
        <f>ROUND(S25*введ!C$15,0)</f>
        <v>0</v>
      </c>
      <c r="U25" s="30"/>
      <c r="V25" s="33">
        <f t="shared" si="9"/>
        <v>0</v>
      </c>
      <c r="W25" s="34">
        <f t="shared" si="3"/>
        <v>0</v>
      </c>
      <c r="X25" s="30"/>
      <c r="Y25" s="10"/>
      <c r="Z25" s="33">
        <f t="shared" si="4"/>
        <v>0</v>
      </c>
      <c r="AA25" s="33">
        <f>IF(OR(Z25&lt;=0,),0,MIN(MIN(введ!$C$17,Z25),введ!$C$17))</f>
        <v>0</v>
      </c>
      <c r="AB25" s="33">
        <f>AA25*введ!C$18</f>
        <v>0</v>
      </c>
      <c r="AC25" s="33">
        <f>AA25*введ!C$22</f>
        <v>0</v>
      </c>
      <c r="AD25" s="33"/>
      <c r="AE25" s="33">
        <f t="shared" si="5"/>
        <v>0</v>
      </c>
      <c r="AF25" s="33">
        <f t="shared" si="6"/>
        <v>0</v>
      </c>
    </row>
    <row r="26" spans="1:32" x14ac:dyDescent="0.2">
      <c r="A26" s="402" t="s">
        <v>72</v>
      </c>
      <c r="B26" s="403"/>
      <c r="C26" s="15"/>
      <c r="D26" s="33">
        <f>SUM(D14:D25)</f>
        <v>850000</v>
      </c>
      <c r="E26" s="33">
        <f t="shared" ref="E26:V26" si="11">SUM(E14:E25)</f>
        <v>127500</v>
      </c>
      <c r="F26" s="33">
        <f t="shared" si="11"/>
        <v>13000</v>
      </c>
      <c r="G26" s="33">
        <f>SUM(G14:G25)</f>
        <v>0</v>
      </c>
      <c r="H26" s="33">
        <f>SUM(H14:H25)</f>
        <v>0</v>
      </c>
      <c r="I26" s="33">
        <f>SUM(I14:I25)</f>
        <v>0</v>
      </c>
      <c r="J26" s="33">
        <f>SUM(J14:J25)</f>
        <v>644500</v>
      </c>
      <c r="K26" s="33">
        <f t="shared" si="11"/>
        <v>29340</v>
      </c>
      <c r="L26" s="33">
        <f t="shared" si="11"/>
        <v>35110</v>
      </c>
      <c r="M26" s="33">
        <f t="shared" si="11"/>
        <v>0</v>
      </c>
      <c r="N26" s="33">
        <f t="shared" si="11"/>
        <v>650000</v>
      </c>
      <c r="O26" s="34">
        <f>SUM(O14:O25)</f>
        <v>0</v>
      </c>
      <c r="P26" s="33">
        <f>SUM(P14:P25)</f>
        <v>65000</v>
      </c>
      <c r="Q26" s="33">
        <f t="shared" si="11"/>
        <v>0</v>
      </c>
      <c r="R26" s="33">
        <f t="shared" si="11"/>
        <v>585000</v>
      </c>
      <c r="S26" s="33">
        <f t="shared" si="11"/>
        <v>585000</v>
      </c>
      <c r="T26" s="33">
        <f>SUM(T14:T25)</f>
        <v>20475</v>
      </c>
      <c r="U26" s="33">
        <f t="shared" si="11"/>
        <v>0</v>
      </c>
      <c r="V26" s="33">
        <f t="shared" si="11"/>
        <v>0</v>
      </c>
      <c r="W26" s="34">
        <f t="shared" ref="W26:AC26" si="12">SUM(W14:W25)</f>
        <v>4</v>
      </c>
      <c r="X26" s="33">
        <f t="shared" si="12"/>
        <v>0</v>
      </c>
      <c r="Y26" s="33">
        <f t="shared" si="12"/>
        <v>0</v>
      </c>
      <c r="Z26" s="33">
        <f t="shared" si="12"/>
        <v>650000</v>
      </c>
      <c r="AA26" s="33">
        <f t="shared" si="12"/>
        <v>650000</v>
      </c>
      <c r="AB26" s="33">
        <f t="shared" si="12"/>
        <v>13000</v>
      </c>
      <c r="AC26" s="33">
        <f t="shared" si="12"/>
        <v>13000</v>
      </c>
      <c r="AD26" s="45">
        <f>IF(D26&gt;0,D26/W26,0)</f>
        <v>212500</v>
      </c>
      <c r="AE26" s="33">
        <f t="shared" ref="AE26:AF26" si="13">SUM(AE14:AE25)</f>
        <v>430000</v>
      </c>
      <c r="AF26" s="33">
        <f t="shared" si="13"/>
        <v>420000</v>
      </c>
    </row>
    <row r="27" spans="1:32" x14ac:dyDescent="0.2">
      <c r="A27" s="22"/>
      <c r="B27" s="22"/>
      <c r="C27" s="22"/>
      <c r="D27" s="22"/>
    </row>
    <row r="28" spans="1:32" x14ac:dyDescent="0.2">
      <c r="A28" s="36" t="s">
        <v>62</v>
      </c>
    </row>
    <row r="30" spans="1:32" x14ac:dyDescent="0.2">
      <c r="A30" s="22"/>
      <c r="B30" s="22"/>
      <c r="C30" s="22"/>
      <c r="D30" s="22"/>
    </row>
    <row r="31" spans="1:32" x14ac:dyDescent="0.2">
      <c r="A31" s="36" t="s">
        <v>63</v>
      </c>
    </row>
    <row r="33" spans="1:4" x14ac:dyDescent="0.2">
      <c r="A33" s="22"/>
      <c r="B33" s="22"/>
      <c r="C33" s="22"/>
      <c r="D33" s="22"/>
    </row>
    <row r="34" spans="1:4" x14ac:dyDescent="0.2">
      <c r="A34" s="36" t="s">
        <v>73</v>
      </c>
    </row>
    <row r="36" spans="1:4" x14ac:dyDescent="0.2">
      <c r="A36" s="22"/>
      <c r="B36" s="22"/>
      <c r="C36" s="22"/>
    </row>
    <row r="37" spans="1:4" x14ac:dyDescent="0.2">
      <c r="A37" s="36" t="s">
        <v>64</v>
      </c>
    </row>
    <row r="38" spans="1:4" x14ac:dyDescent="0.2">
      <c r="A38" s="25"/>
      <c r="B38" s="25"/>
      <c r="C38" s="25"/>
      <c r="D38" s="25"/>
    </row>
  </sheetData>
  <mergeCells count="2">
    <mergeCell ref="A11:H11"/>
    <mergeCell ref="A26:B26"/>
  </mergeCells>
  <pageMargins left="0.75" right="0.75" top="1" bottom="1" header="0.5" footer="0.5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7"/>
  <dimension ref="A2:AF38"/>
  <sheetViews>
    <sheetView topLeftCell="A13" workbookViewId="0">
      <pane xSplit="2" ySplit="1" topLeftCell="C14" activePane="bottomRight" state="frozen"/>
      <selection activeCell="A13" sqref="A13"/>
      <selection pane="topRight" activeCell="C13" sqref="C13"/>
      <selection pane="bottomLeft" activeCell="A14" sqref="A14"/>
      <selection pane="bottomRight" activeCell="L28" sqref="L28"/>
    </sheetView>
  </sheetViews>
  <sheetFormatPr defaultColWidth="8.7109375" defaultRowHeight="12.75" x14ac:dyDescent="0.2"/>
  <cols>
    <col min="1" max="1" width="5.85546875" style="16" customWidth="1"/>
    <col min="2" max="2" width="18.5703125" style="16" customWidth="1"/>
    <col min="3" max="3" width="14.5703125" style="16" customWidth="1"/>
    <col min="4" max="4" width="14.28515625" style="16" customWidth="1"/>
    <col min="5" max="5" width="12" style="16" bestFit="1" customWidth="1"/>
    <col min="6" max="6" width="11" style="16" bestFit="1" customWidth="1"/>
    <col min="7" max="8" width="8.85546875" style="16" bestFit="1" customWidth="1"/>
    <col min="9" max="9" width="11" style="16" customWidth="1"/>
    <col min="10" max="10" width="11.7109375" style="16" customWidth="1"/>
    <col min="11" max="11" width="10" style="16" customWidth="1"/>
    <col min="12" max="12" width="12.5703125" style="16" customWidth="1"/>
    <col min="13" max="13" width="8.85546875" style="16" bestFit="1" customWidth="1"/>
    <col min="14" max="14" width="10.42578125" style="16" customWidth="1"/>
    <col min="15" max="15" width="7.85546875" style="16" customWidth="1"/>
    <col min="16" max="16" width="15.42578125" style="16" customWidth="1"/>
    <col min="17" max="17" width="12.85546875" style="16" customWidth="1"/>
    <col min="18" max="18" width="19.7109375" style="16" customWidth="1"/>
    <col min="19" max="19" width="13" style="16" customWidth="1"/>
    <col min="20" max="20" width="11" style="16" bestFit="1" customWidth="1"/>
    <col min="21" max="22" width="8.85546875" style="16" bestFit="1" customWidth="1"/>
    <col min="23" max="23" width="8.7109375" style="16" bestFit="1" customWidth="1"/>
    <col min="24" max="24" width="15.28515625" style="19" bestFit="1" customWidth="1"/>
    <col min="25" max="26" width="14.7109375" style="16" bestFit="1" customWidth="1"/>
    <col min="27" max="27" width="13.140625" style="16" bestFit="1" customWidth="1"/>
    <col min="28" max="28" width="11.85546875" style="16" customWidth="1"/>
    <col min="29" max="29" width="13.5703125" style="16" bestFit="1" customWidth="1"/>
    <col min="30" max="30" width="12.85546875" style="16" customWidth="1"/>
    <col min="31" max="31" width="12" style="16" customWidth="1"/>
    <col min="32" max="32" width="13.140625" style="16" bestFit="1" customWidth="1"/>
    <col min="33" max="16384" width="8.7109375" style="16"/>
  </cols>
  <sheetData>
    <row r="2" spans="1:32" x14ac:dyDescent="0.2">
      <c r="K2" s="18"/>
      <c r="S2" s="17" t="s">
        <v>14</v>
      </c>
    </row>
    <row r="3" spans="1:32" x14ac:dyDescent="0.2">
      <c r="A3" s="20"/>
      <c r="B3" s="20"/>
      <c r="C3" s="20"/>
      <c r="D3" s="20"/>
    </row>
    <row r="4" spans="1:32" x14ac:dyDescent="0.2">
      <c r="A4" s="20"/>
      <c r="B4" s="20"/>
      <c r="C4" s="20"/>
      <c r="D4" s="20"/>
    </row>
    <row r="5" spans="1:32" x14ac:dyDescent="0.2">
      <c r="A5" s="21" t="s">
        <v>67</v>
      </c>
      <c r="B5" s="22"/>
      <c r="C5" s="21"/>
      <c r="D5" s="21"/>
    </row>
    <row r="7" spans="1:32" x14ac:dyDescent="0.2">
      <c r="A7" s="16">
        <v>1</v>
      </c>
      <c r="B7" s="21" t="s">
        <v>68</v>
      </c>
      <c r="C7" s="21"/>
      <c r="D7" s="21"/>
    </row>
    <row r="8" spans="1:32" x14ac:dyDescent="0.2">
      <c r="A8" s="16">
        <v>2</v>
      </c>
      <c r="B8" s="23" t="s">
        <v>15</v>
      </c>
      <c r="C8" s="23"/>
      <c r="D8" s="24">
        <f>'910.00'!D8</f>
        <v>111111111111</v>
      </c>
    </row>
    <row r="9" spans="1:32" x14ac:dyDescent="0.2">
      <c r="A9" s="16">
        <v>3</v>
      </c>
      <c r="B9" s="21" t="s">
        <v>90</v>
      </c>
      <c r="C9" s="21"/>
      <c r="D9" s="21" t="str">
        <f>IF('910.00'!L12=1,"апрель","октябрь")</f>
        <v>апрель</v>
      </c>
      <c r="E9" s="16">
        <f>'910.00'!O12</f>
        <v>2021</v>
      </c>
    </row>
    <row r="10" spans="1:32" x14ac:dyDescent="0.2">
      <c r="A10" s="25"/>
      <c r="B10" s="25"/>
      <c r="C10" s="25"/>
      <c r="D10" s="25"/>
      <c r="E10" s="25"/>
      <c r="F10" s="25"/>
      <c r="G10" s="25"/>
    </row>
    <row r="11" spans="1:32" ht="43.5" customHeight="1" x14ac:dyDescent="0.2">
      <c r="A11" s="401" t="s">
        <v>165</v>
      </c>
      <c r="B11" s="401"/>
      <c r="C11" s="401"/>
      <c r="D11" s="401"/>
      <c r="E11" s="401"/>
      <c r="F11" s="401"/>
      <c r="G11" s="401"/>
      <c r="H11" s="401"/>
    </row>
    <row r="12" spans="1:32" x14ac:dyDescent="0.2">
      <c r="A12" s="25"/>
      <c r="B12" s="25"/>
      <c r="C12" s="25"/>
      <c r="D12" s="25"/>
      <c r="E12" s="25"/>
      <c r="F12" s="25"/>
      <c r="G12" s="25"/>
    </row>
    <row r="13" spans="1:32" ht="153" x14ac:dyDescent="0.2">
      <c r="A13" s="13" t="s">
        <v>69</v>
      </c>
      <c r="B13" s="13" t="s">
        <v>70</v>
      </c>
      <c r="C13" s="13" t="s">
        <v>376</v>
      </c>
      <c r="D13" s="13" t="s">
        <v>71</v>
      </c>
      <c r="E13" s="13" t="s">
        <v>196</v>
      </c>
      <c r="F13" s="13" t="s">
        <v>195</v>
      </c>
      <c r="G13" s="13" t="s">
        <v>261</v>
      </c>
      <c r="H13" s="13" t="s">
        <v>194</v>
      </c>
      <c r="I13" s="13" t="s">
        <v>259</v>
      </c>
      <c r="J13" s="13" t="s">
        <v>74</v>
      </c>
      <c r="K13" s="13" t="s">
        <v>129</v>
      </c>
      <c r="L13" s="13" t="s">
        <v>130</v>
      </c>
      <c r="M13" s="13" t="s">
        <v>75</v>
      </c>
      <c r="N13" s="13" t="s">
        <v>76</v>
      </c>
      <c r="O13" s="13" t="s">
        <v>101</v>
      </c>
      <c r="P13" s="13" t="s">
        <v>77</v>
      </c>
      <c r="Q13" s="13" t="s">
        <v>78</v>
      </c>
      <c r="R13" s="13" t="s">
        <v>79</v>
      </c>
      <c r="S13" s="13" t="s">
        <v>80</v>
      </c>
      <c r="T13" s="13" t="s">
        <v>81</v>
      </c>
      <c r="U13" s="13" t="s">
        <v>91</v>
      </c>
      <c r="V13" s="13" t="s">
        <v>92</v>
      </c>
      <c r="W13" s="13" t="s">
        <v>93</v>
      </c>
      <c r="X13" s="13" t="s">
        <v>118</v>
      </c>
      <c r="Y13" s="13"/>
      <c r="Z13" s="13" t="s">
        <v>176</v>
      </c>
      <c r="AA13" s="13" t="s">
        <v>119</v>
      </c>
      <c r="AB13" s="13" t="s">
        <v>121</v>
      </c>
      <c r="AC13" s="13" t="s">
        <v>191</v>
      </c>
      <c r="AD13" s="13" t="s">
        <v>126</v>
      </c>
      <c r="AE13" s="13" t="s">
        <v>254</v>
      </c>
      <c r="AF13" s="13" t="s">
        <v>255</v>
      </c>
    </row>
    <row r="14" spans="1:32" x14ac:dyDescent="0.2">
      <c r="A14" s="26">
        <v>1</v>
      </c>
      <c r="B14" s="26" t="s">
        <v>372</v>
      </c>
      <c r="C14" s="28">
        <v>1</v>
      </c>
      <c r="D14" s="30">
        <v>180000</v>
      </c>
      <c r="E14" s="29">
        <f>IF(C14&gt;=3,0,IF((D14-P14)&gt;введ!C$11,введ!C$11,IF((D14-P14)&lt;=введ!C$11,D14-P14,0)))</f>
        <v>42500</v>
      </c>
      <c r="F14" s="29">
        <f>IF(AC14&gt;0,AC14,0)</f>
        <v>3600</v>
      </c>
      <c r="G14" s="30"/>
      <c r="H14" s="30"/>
      <c r="I14" s="30"/>
      <c r="J14" s="33">
        <f>IF(C14&gt;=3,D14-I14,D14-I14-E14-P14-F14-H14-G14)</f>
        <v>115900</v>
      </c>
      <c r="K14" s="11">
        <f>IF(C14=0,0,IF(C14&gt;1,0,IF(D14&lt;=введ!C$20*25,J14/100,J14/10)))</f>
        <v>11590</v>
      </c>
      <c r="L14" s="11">
        <f>IF(C14=0,0,IF(C14=1,0,IF(C14&gt;=3,J14/10,IF(C14=2,IF(D14&lt;=введ!C$20*25,J14/100,J14/10)))))</f>
        <v>0</v>
      </c>
      <c r="M14" s="30"/>
      <c r="N14" s="33">
        <f t="shared" ref="N14:N25" si="0">IF(C14=3,0,IF(O14=1,0,D14-M14))</f>
        <v>180000</v>
      </c>
      <c r="O14" s="26"/>
      <c r="P14" s="33">
        <f>N14*10%</f>
        <v>18000</v>
      </c>
      <c r="Q14" s="30"/>
      <c r="R14" s="33">
        <f t="shared" ref="R14:R25" si="1">IF(C14=3,0,IF(O14=1,0,D14-P14-Q14))</f>
        <v>162000</v>
      </c>
      <c r="S14" s="33">
        <f>IF(OR(R14&lt;=0,),0,MIN(MAX(введ!$C$11,R14),введ!$C$14))</f>
        <v>162000</v>
      </c>
      <c r="T14" s="33">
        <f>ROUND(S14*введ!C$15,0)</f>
        <v>5670</v>
      </c>
      <c r="U14" s="30"/>
      <c r="V14" s="33">
        <f>ROUND(U14*0.05,0)</f>
        <v>0</v>
      </c>
      <c r="W14" s="34">
        <f t="shared" ref="W14:W25" si="2">IF(D14=0,0,1)</f>
        <v>1</v>
      </c>
      <c r="X14" s="30"/>
      <c r="Y14" s="10"/>
      <c r="Z14" s="33">
        <f t="shared" ref="Z14:Z25" si="3">IF(C14=3,0,IF(O14=1,0,D14-X14))</f>
        <v>180000</v>
      </c>
      <c r="AA14" s="33">
        <f>IF(OR(Z14&lt;=0,),0,MIN(MIN(введ!$C$17,Z14),введ!$C$17))</f>
        <v>180000</v>
      </c>
      <c r="AB14" s="33">
        <f>AA14*введ!C$18</f>
        <v>3600</v>
      </c>
      <c r="AC14" s="33">
        <f>AA14*введ!C$22</f>
        <v>3600</v>
      </c>
      <c r="AD14" s="33"/>
      <c r="AE14" s="33">
        <f t="shared" ref="AE14:AE25" si="4">IF(C14=1,D14,0)</f>
        <v>180000</v>
      </c>
      <c r="AF14" s="33">
        <f t="shared" ref="AF14:AF25" si="5">IF(C14&gt;1,D14,0)</f>
        <v>0</v>
      </c>
    </row>
    <row r="15" spans="1:32" x14ac:dyDescent="0.2">
      <c r="A15" s="26">
        <v>2</v>
      </c>
      <c r="B15" s="26" t="s">
        <v>375</v>
      </c>
      <c r="C15" s="28">
        <v>3</v>
      </c>
      <c r="D15" s="30">
        <v>200000</v>
      </c>
      <c r="E15" s="29">
        <f>IF(C15&gt;=3,0,IF((D15-P15)&gt;введ!C$11,введ!C$11,IF((D15-P15)&lt;=введ!C$11,D15-P15,0)))</f>
        <v>0</v>
      </c>
      <c r="F15" s="29">
        <f t="shared" ref="F15:F25" si="6">IF(AC15&gt;0,AC15,0)</f>
        <v>0</v>
      </c>
      <c r="G15" s="30"/>
      <c r="H15" s="30"/>
      <c r="I15" s="30"/>
      <c r="J15" s="33">
        <f t="shared" ref="J15:J25" si="7">IF(C15&gt;=3,D15-I15,D15-I15-E15-P15-F15-H15-G15)</f>
        <v>200000</v>
      </c>
      <c r="K15" s="11">
        <f>IF(C15=0,0,IF(C15&gt;1,0,IF(D15&lt;=введ!C$20*25,J15/100,J15/10)))</f>
        <v>0</v>
      </c>
      <c r="L15" s="11">
        <f>IF(C15=0,0,IF(C15=1,0,IF(C15&gt;=3,J15/10,IF(C15=2,IF(D15&lt;=введ!C$20*25,J15/100,J15/10)))))</f>
        <v>20000</v>
      </c>
      <c r="M15" s="30"/>
      <c r="N15" s="33">
        <f t="shared" si="0"/>
        <v>0</v>
      </c>
      <c r="O15" s="26"/>
      <c r="P15" s="33">
        <f t="shared" ref="P15:P25" si="8">N15*10%</f>
        <v>0</v>
      </c>
      <c r="Q15" s="30"/>
      <c r="R15" s="33">
        <f t="shared" si="1"/>
        <v>0</v>
      </c>
      <c r="S15" s="33">
        <f>IF(OR(R15&lt;=0,),0,MIN(MAX(введ!$C$11,R15),введ!$C$14))</f>
        <v>0</v>
      </c>
      <c r="T15" s="33">
        <f>ROUND(S15*введ!C$15,0)</f>
        <v>0</v>
      </c>
      <c r="U15" s="30"/>
      <c r="V15" s="33">
        <f t="shared" ref="V15:V25" si="9">ROUND(U15*0.05,0)</f>
        <v>0</v>
      </c>
      <c r="W15" s="34">
        <f t="shared" si="2"/>
        <v>1</v>
      </c>
      <c r="X15" s="30"/>
      <c r="Y15" s="10"/>
      <c r="Z15" s="33">
        <f t="shared" si="3"/>
        <v>0</v>
      </c>
      <c r="AA15" s="33">
        <f>IF(OR(Z15&lt;=0,),0,MIN(MIN(введ!$C$17,Z15),введ!$C$17))</f>
        <v>0</v>
      </c>
      <c r="AB15" s="33">
        <f>AA15*введ!C$18</f>
        <v>0</v>
      </c>
      <c r="AC15" s="33">
        <f>AA15*введ!C$22</f>
        <v>0</v>
      </c>
      <c r="AD15" s="33"/>
      <c r="AE15" s="33">
        <f t="shared" si="4"/>
        <v>0</v>
      </c>
      <c r="AF15" s="33">
        <f t="shared" si="5"/>
        <v>200000</v>
      </c>
    </row>
    <row r="16" spans="1:32" x14ac:dyDescent="0.2">
      <c r="A16" s="26">
        <v>3</v>
      </c>
      <c r="B16" s="26" t="s">
        <v>373</v>
      </c>
      <c r="C16" s="28">
        <v>2</v>
      </c>
      <c r="D16" s="30">
        <v>220000</v>
      </c>
      <c r="E16" s="29">
        <f>IF(C16&gt;=3,0,IF((D16-P16)&gt;введ!C$11,введ!C$11,IF((D16-P16)&lt;=введ!C$11,D16-P16,0)))</f>
        <v>42500</v>
      </c>
      <c r="F16" s="29">
        <f t="shared" si="6"/>
        <v>4400</v>
      </c>
      <c r="G16" s="30"/>
      <c r="H16" s="30"/>
      <c r="I16" s="30"/>
      <c r="J16" s="33">
        <f t="shared" si="7"/>
        <v>151100</v>
      </c>
      <c r="K16" s="11">
        <f>IF(C16=0,0,IF(C16&gt;1,0,IF(D16&lt;=введ!C$20*25,J16/100,J16/10)))</f>
        <v>0</v>
      </c>
      <c r="L16" s="11">
        <f>IF(C16=0,0,IF(C16=1,0,IF(C16&gt;=3,J16/10,IF(C16=2,IF(D16&lt;=введ!C$20*25,J16/100,J16/10)))))</f>
        <v>15110</v>
      </c>
      <c r="M16" s="30"/>
      <c r="N16" s="33">
        <f t="shared" si="0"/>
        <v>220000</v>
      </c>
      <c r="O16" s="26"/>
      <c r="P16" s="33">
        <f t="shared" si="8"/>
        <v>22000</v>
      </c>
      <c r="Q16" s="30"/>
      <c r="R16" s="33">
        <f t="shared" si="1"/>
        <v>198000</v>
      </c>
      <c r="S16" s="33">
        <f>IF(OR(R16&lt;=0,),0,MIN(MAX(введ!$C$11,R16),введ!$C$14))</f>
        <v>198000</v>
      </c>
      <c r="T16" s="33">
        <f>ROUND(S16*введ!C$15,0)</f>
        <v>6930</v>
      </c>
      <c r="U16" s="30"/>
      <c r="V16" s="33">
        <f t="shared" si="9"/>
        <v>0</v>
      </c>
      <c r="W16" s="34">
        <f t="shared" si="2"/>
        <v>1</v>
      </c>
      <c r="X16" s="30"/>
      <c r="Y16" s="10"/>
      <c r="Z16" s="33">
        <f t="shared" si="3"/>
        <v>220000</v>
      </c>
      <c r="AA16" s="33">
        <f>IF(OR(Z16&lt;=0,),0,MIN(MIN(введ!$C$17,Z16),введ!$C$17))</f>
        <v>220000</v>
      </c>
      <c r="AB16" s="33">
        <f>AA16*введ!C$18</f>
        <v>4400</v>
      </c>
      <c r="AC16" s="33">
        <f>AA16*введ!C$22</f>
        <v>4400</v>
      </c>
      <c r="AD16" s="33"/>
      <c r="AE16" s="33">
        <f t="shared" si="4"/>
        <v>0</v>
      </c>
      <c r="AF16" s="33">
        <f t="shared" si="5"/>
        <v>220000</v>
      </c>
    </row>
    <row r="17" spans="1:32" x14ac:dyDescent="0.2">
      <c r="A17" s="26">
        <v>4</v>
      </c>
      <c r="B17" s="26"/>
      <c r="C17" s="28"/>
      <c r="D17" s="30"/>
      <c r="E17" s="29">
        <f>IF(C17&gt;=3,0,IF((D17-P17)&gt;введ!C$11,введ!C$11,IF((D17-P17)&lt;=введ!C$11,D17-P17,0)))</f>
        <v>0</v>
      </c>
      <c r="F17" s="29">
        <f t="shared" si="6"/>
        <v>0</v>
      </c>
      <c r="G17" s="30"/>
      <c r="H17" s="30"/>
      <c r="I17" s="30"/>
      <c r="J17" s="33">
        <f t="shared" si="7"/>
        <v>0</v>
      </c>
      <c r="K17" s="11">
        <f>IF(C17=0,0,IF(C17&gt;1,0,IF(D17&lt;=введ!C$20*25,J17/100,J17/10)))</f>
        <v>0</v>
      </c>
      <c r="L17" s="11">
        <f>IF(C17=0,0,IF(C17=1,0,IF(C17&gt;=3,J17/10,IF(C17=2,IF(D17&lt;=введ!C$20*25,J17/100,J17/10)))))</f>
        <v>0</v>
      </c>
      <c r="M17" s="30"/>
      <c r="N17" s="33">
        <f t="shared" si="0"/>
        <v>0</v>
      </c>
      <c r="O17" s="26"/>
      <c r="P17" s="33">
        <f t="shared" si="8"/>
        <v>0</v>
      </c>
      <c r="Q17" s="30"/>
      <c r="R17" s="33">
        <f t="shared" si="1"/>
        <v>0</v>
      </c>
      <c r="S17" s="33">
        <f>IF(OR(R17&lt;=0,),0,MIN(MAX(введ!$C$11,R17),введ!$C$14))</f>
        <v>0</v>
      </c>
      <c r="T17" s="33">
        <f>ROUND(S17*введ!C$15,0)</f>
        <v>0</v>
      </c>
      <c r="U17" s="30"/>
      <c r="V17" s="33">
        <f t="shared" si="9"/>
        <v>0</v>
      </c>
      <c r="W17" s="34">
        <f t="shared" si="2"/>
        <v>0</v>
      </c>
      <c r="X17" s="30"/>
      <c r="Y17" s="10"/>
      <c r="Z17" s="33">
        <f t="shared" si="3"/>
        <v>0</v>
      </c>
      <c r="AA17" s="33">
        <f>IF(OR(Z17&lt;=0,),0,MIN(MIN(введ!$C$17,Z17),введ!$C$17))</f>
        <v>0</v>
      </c>
      <c r="AB17" s="33">
        <f>AA17*введ!C$18</f>
        <v>0</v>
      </c>
      <c r="AC17" s="33">
        <f>AA17*введ!C$22</f>
        <v>0</v>
      </c>
      <c r="AD17" s="33"/>
      <c r="AE17" s="33">
        <f t="shared" si="4"/>
        <v>0</v>
      </c>
      <c r="AF17" s="33">
        <f t="shared" si="5"/>
        <v>0</v>
      </c>
    </row>
    <row r="18" spans="1:32" x14ac:dyDescent="0.2">
      <c r="A18" s="26">
        <v>5</v>
      </c>
      <c r="B18" s="26"/>
      <c r="C18" s="28"/>
      <c r="D18" s="30"/>
      <c r="E18" s="29">
        <f>IF(C18&gt;=3,0,IF((D18-P18)&gt;введ!C$11,введ!C$11,IF((D18-P18)&lt;=введ!C$11,D18-P18,0)))</f>
        <v>0</v>
      </c>
      <c r="F18" s="29">
        <f t="shared" si="6"/>
        <v>0</v>
      </c>
      <c r="G18" s="30"/>
      <c r="H18" s="30"/>
      <c r="I18" s="30"/>
      <c r="J18" s="33">
        <f t="shared" si="7"/>
        <v>0</v>
      </c>
      <c r="K18" s="11">
        <f>IF(C18=0,0,IF(C18&gt;1,0,IF(D18&lt;=введ!C$20*25,J18/100,J18/10)))</f>
        <v>0</v>
      </c>
      <c r="L18" s="11">
        <f>IF(C18=0,0,IF(C18=1,0,IF(C18&gt;=3,J18/10,IF(C18=2,IF(D18&lt;=введ!C$20*25,J18/100,J18/10)))))</f>
        <v>0</v>
      </c>
      <c r="M18" s="30"/>
      <c r="N18" s="33">
        <f t="shared" si="0"/>
        <v>0</v>
      </c>
      <c r="O18" s="26"/>
      <c r="P18" s="33">
        <f t="shared" si="8"/>
        <v>0</v>
      </c>
      <c r="Q18" s="30"/>
      <c r="R18" s="33">
        <f t="shared" si="1"/>
        <v>0</v>
      </c>
      <c r="S18" s="33">
        <f>IF(OR(R18&lt;=0,),0,MIN(MAX(введ!$C$11,R18),введ!$C$14))</f>
        <v>0</v>
      </c>
      <c r="T18" s="33">
        <f>ROUND(S18*введ!C$15,0)</f>
        <v>0</v>
      </c>
      <c r="U18" s="30"/>
      <c r="V18" s="33">
        <f t="shared" si="9"/>
        <v>0</v>
      </c>
      <c r="W18" s="34">
        <f t="shared" si="2"/>
        <v>0</v>
      </c>
      <c r="X18" s="30"/>
      <c r="Y18" s="10"/>
      <c r="Z18" s="33">
        <f t="shared" si="3"/>
        <v>0</v>
      </c>
      <c r="AA18" s="33">
        <f>IF(OR(Z18&lt;=0,),0,MIN(MIN(введ!$C$17,Z18),введ!$C$17))</f>
        <v>0</v>
      </c>
      <c r="AB18" s="33">
        <f>AA18*введ!C$18</f>
        <v>0</v>
      </c>
      <c r="AC18" s="33">
        <f>AA18*введ!C$22</f>
        <v>0</v>
      </c>
      <c r="AD18" s="33"/>
      <c r="AE18" s="33">
        <f t="shared" si="4"/>
        <v>0</v>
      </c>
      <c r="AF18" s="33">
        <f t="shared" si="5"/>
        <v>0</v>
      </c>
    </row>
    <row r="19" spans="1:32" x14ac:dyDescent="0.2">
      <c r="A19" s="26">
        <v>6</v>
      </c>
      <c r="B19" s="26"/>
      <c r="C19" s="28"/>
      <c r="D19" s="30"/>
      <c r="E19" s="29">
        <f>IF(C19&gt;=3,0,IF((D19-P19)&gt;введ!C$11,введ!C$11,IF((D19-P19)&lt;=введ!C$11,D19-P19,0)))</f>
        <v>0</v>
      </c>
      <c r="F19" s="29">
        <f t="shared" si="6"/>
        <v>0</v>
      </c>
      <c r="G19" s="30"/>
      <c r="H19" s="30"/>
      <c r="I19" s="30"/>
      <c r="J19" s="33">
        <f t="shared" si="7"/>
        <v>0</v>
      </c>
      <c r="K19" s="11">
        <f>IF(C19=0,0,IF(C19&gt;1,0,IF(D19&lt;=введ!C$20*25,J19/100,J19/10)))</f>
        <v>0</v>
      </c>
      <c r="L19" s="11">
        <f>IF(C19=0,0,IF(C19=1,0,IF(C19&gt;=3,J19/10,IF(C19=2,IF(D19&lt;=введ!C$20*25,J19/100,J19/10)))))</f>
        <v>0</v>
      </c>
      <c r="M19" s="30"/>
      <c r="N19" s="33">
        <f t="shared" si="0"/>
        <v>0</v>
      </c>
      <c r="O19" s="26"/>
      <c r="P19" s="33">
        <f t="shared" si="8"/>
        <v>0</v>
      </c>
      <c r="Q19" s="30"/>
      <c r="R19" s="33">
        <f t="shared" si="1"/>
        <v>0</v>
      </c>
      <c r="S19" s="33">
        <f>IF(OR(R19&lt;=0,),0,MIN(MAX(введ!$C$11,R19),введ!$C$14))</f>
        <v>0</v>
      </c>
      <c r="T19" s="33">
        <f>ROUND(S19*введ!C$15,0)</f>
        <v>0</v>
      </c>
      <c r="U19" s="30"/>
      <c r="V19" s="33">
        <f t="shared" si="9"/>
        <v>0</v>
      </c>
      <c r="W19" s="34">
        <f t="shared" si="2"/>
        <v>0</v>
      </c>
      <c r="X19" s="30"/>
      <c r="Y19" s="10"/>
      <c r="Z19" s="33">
        <f t="shared" si="3"/>
        <v>0</v>
      </c>
      <c r="AA19" s="33">
        <f>IF(OR(Z19&lt;=0,),0,MIN(MIN(введ!$C$17,Z19),введ!$C$17))</f>
        <v>0</v>
      </c>
      <c r="AB19" s="33">
        <f>AA19*введ!C$18</f>
        <v>0</v>
      </c>
      <c r="AC19" s="33">
        <f>AA19*введ!C$22</f>
        <v>0</v>
      </c>
      <c r="AD19" s="33"/>
      <c r="AE19" s="33">
        <f t="shared" si="4"/>
        <v>0</v>
      </c>
      <c r="AF19" s="33">
        <f t="shared" si="5"/>
        <v>0</v>
      </c>
    </row>
    <row r="20" spans="1:32" x14ac:dyDescent="0.2">
      <c r="A20" s="26">
        <v>7</v>
      </c>
      <c r="B20" s="26"/>
      <c r="C20" s="28"/>
      <c r="D20" s="30"/>
      <c r="E20" s="29">
        <f>IF(C20&gt;=3,0,IF((D20-P20)&gt;введ!C$11,введ!C$11,IF((D20-P20)&lt;=введ!C$11,D20-P20,0)))</f>
        <v>0</v>
      </c>
      <c r="F20" s="29">
        <f t="shared" si="6"/>
        <v>0</v>
      </c>
      <c r="G20" s="30"/>
      <c r="H20" s="30"/>
      <c r="I20" s="30"/>
      <c r="J20" s="33">
        <f t="shared" si="7"/>
        <v>0</v>
      </c>
      <c r="K20" s="11">
        <f>IF(C20=0,0,IF(C20&gt;1,0,IF(D20&lt;=введ!C$20*25,J20/100,J20/10)))</f>
        <v>0</v>
      </c>
      <c r="L20" s="11">
        <f>IF(C20=0,0,IF(C20=1,0,IF(C20&gt;=3,J20/10,IF(C20=2,IF(D20&lt;=введ!C$20*25,J20/100,J20/10)))))</f>
        <v>0</v>
      </c>
      <c r="M20" s="30"/>
      <c r="N20" s="33">
        <f t="shared" si="0"/>
        <v>0</v>
      </c>
      <c r="O20" s="26"/>
      <c r="P20" s="33">
        <f t="shared" si="8"/>
        <v>0</v>
      </c>
      <c r="Q20" s="30"/>
      <c r="R20" s="33">
        <f t="shared" si="1"/>
        <v>0</v>
      </c>
      <c r="S20" s="33">
        <f>IF(OR(R20&lt;=0,),0,MIN(MAX(введ!$C$11,R20),введ!$C$14))</f>
        <v>0</v>
      </c>
      <c r="T20" s="33">
        <f>ROUND(S20*введ!C$15,0)</f>
        <v>0</v>
      </c>
      <c r="U20" s="30"/>
      <c r="V20" s="33">
        <f t="shared" si="9"/>
        <v>0</v>
      </c>
      <c r="W20" s="34">
        <f t="shared" si="2"/>
        <v>0</v>
      </c>
      <c r="X20" s="30"/>
      <c r="Y20" s="10"/>
      <c r="Z20" s="33">
        <f t="shared" si="3"/>
        <v>0</v>
      </c>
      <c r="AA20" s="33">
        <f>IF(OR(Z20&lt;=0,),0,MIN(MIN(введ!$C$17,Z20),введ!$C$17))</f>
        <v>0</v>
      </c>
      <c r="AB20" s="33">
        <f>AA20*введ!C$18</f>
        <v>0</v>
      </c>
      <c r="AC20" s="33">
        <f>AA20*введ!C$22</f>
        <v>0</v>
      </c>
      <c r="AD20" s="33"/>
      <c r="AE20" s="33">
        <f t="shared" si="4"/>
        <v>0</v>
      </c>
      <c r="AF20" s="33">
        <f t="shared" si="5"/>
        <v>0</v>
      </c>
    </row>
    <row r="21" spans="1:32" x14ac:dyDescent="0.2">
      <c r="A21" s="26">
        <v>8</v>
      </c>
      <c r="B21" s="26"/>
      <c r="C21" s="28"/>
      <c r="D21" s="30"/>
      <c r="E21" s="29">
        <f>IF(C21&gt;=3,0,IF((D21-P21)&gt;введ!C$11,введ!C$11,IF((D21-P21)&lt;=введ!C$11,D21-P21,0)))</f>
        <v>0</v>
      </c>
      <c r="F21" s="29">
        <f t="shared" si="6"/>
        <v>0</v>
      </c>
      <c r="G21" s="30"/>
      <c r="H21" s="30"/>
      <c r="I21" s="30"/>
      <c r="J21" s="33">
        <f t="shared" si="7"/>
        <v>0</v>
      </c>
      <c r="K21" s="11">
        <f>IF(C21=0,0,IF(C21&gt;1,0,IF(D21&lt;=введ!C$20*25,J21/100,J21/10)))</f>
        <v>0</v>
      </c>
      <c r="L21" s="11">
        <f>IF(C21=0,0,IF(C21=1,0,IF(C21&gt;=3,J21/10,IF(C21=2,IF(D21&lt;=введ!C$20*25,J21/100,J21/10)))))</f>
        <v>0</v>
      </c>
      <c r="M21" s="30"/>
      <c r="N21" s="33">
        <f t="shared" si="0"/>
        <v>0</v>
      </c>
      <c r="O21" s="26"/>
      <c r="P21" s="33">
        <f t="shared" si="8"/>
        <v>0</v>
      </c>
      <c r="Q21" s="30"/>
      <c r="R21" s="33">
        <f t="shared" si="1"/>
        <v>0</v>
      </c>
      <c r="S21" s="33">
        <f>IF(OR(R21&lt;=0,),0,MIN(MAX(введ!$C$11,R21),введ!$C$14))</f>
        <v>0</v>
      </c>
      <c r="T21" s="33">
        <f>ROUND(S21*введ!C$15,0)</f>
        <v>0</v>
      </c>
      <c r="U21" s="30"/>
      <c r="V21" s="33">
        <f t="shared" si="9"/>
        <v>0</v>
      </c>
      <c r="W21" s="34">
        <f t="shared" si="2"/>
        <v>0</v>
      </c>
      <c r="X21" s="30"/>
      <c r="Y21" s="10"/>
      <c r="Z21" s="33">
        <f t="shared" si="3"/>
        <v>0</v>
      </c>
      <c r="AA21" s="33">
        <f>IF(OR(Z21&lt;=0,),0,MIN(MIN(введ!$C$17,Z21),введ!$C$17))</f>
        <v>0</v>
      </c>
      <c r="AB21" s="33">
        <f>AA21*введ!C$18</f>
        <v>0</v>
      </c>
      <c r="AC21" s="33">
        <f>AA21*введ!C$22</f>
        <v>0</v>
      </c>
      <c r="AD21" s="33"/>
      <c r="AE21" s="33">
        <f t="shared" si="4"/>
        <v>0</v>
      </c>
      <c r="AF21" s="33">
        <f t="shared" si="5"/>
        <v>0</v>
      </c>
    </row>
    <row r="22" spans="1:32" x14ac:dyDescent="0.2">
      <c r="A22" s="26">
        <v>9</v>
      </c>
      <c r="B22" s="26"/>
      <c r="C22" s="28"/>
      <c r="D22" s="30"/>
      <c r="E22" s="29">
        <f>IF(C22&gt;=3,0,IF((D22-P22)&gt;введ!C$11,введ!C$11,IF((D22-P22)&lt;=введ!C$11,D22-P22,0)))</f>
        <v>0</v>
      </c>
      <c r="F22" s="29">
        <f t="shared" si="6"/>
        <v>0</v>
      </c>
      <c r="G22" s="30"/>
      <c r="H22" s="30"/>
      <c r="I22" s="30"/>
      <c r="J22" s="33">
        <f t="shared" si="7"/>
        <v>0</v>
      </c>
      <c r="K22" s="11">
        <f>IF(C22=0,0,IF(C22&gt;1,0,IF(D22&lt;=введ!C$20*25,J22/100,J22/10)))</f>
        <v>0</v>
      </c>
      <c r="L22" s="11">
        <f>IF(C22=0,0,IF(C22=1,0,IF(C22&gt;=3,J22/10,IF(C22=2,IF(D22&lt;=введ!C$20*25,J22/100,J22/10)))))</f>
        <v>0</v>
      </c>
      <c r="M22" s="30"/>
      <c r="N22" s="33">
        <f t="shared" si="0"/>
        <v>0</v>
      </c>
      <c r="O22" s="26"/>
      <c r="P22" s="33">
        <f t="shared" si="8"/>
        <v>0</v>
      </c>
      <c r="Q22" s="30"/>
      <c r="R22" s="33">
        <f t="shared" si="1"/>
        <v>0</v>
      </c>
      <c r="S22" s="33">
        <f>IF(OR(R22&lt;=0,),0,MIN(MAX(введ!$C$11,R22),введ!$C$14))</f>
        <v>0</v>
      </c>
      <c r="T22" s="33">
        <f>ROUND(S22*введ!C$15,0)</f>
        <v>0</v>
      </c>
      <c r="U22" s="30"/>
      <c r="V22" s="33">
        <f t="shared" si="9"/>
        <v>0</v>
      </c>
      <c r="W22" s="34">
        <f t="shared" si="2"/>
        <v>0</v>
      </c>
      <c r="X22" s="30"/>
      <c r="Y22" s="10"/>
      <c r="Z22" s="33">
        <f t="shared" si="3"/>
        <v>0</v>
      </c>
      <c r="AA22" s="33">
        <f>IF(OR(Z22&lt;=0,),0,MIN(MIN(введ!$C$17,Z22),введ!$C$17))</f>
        <v>0</v>
      </c>
      <c r="AB22" s="33">
        <f>AA22*введ!C$18</f>
        <v>0</v>
      </c>
      <c r="AC22" s="33">
        <f>AA22*введ!C$22</f>
        <v>0</v>
      </c>
      <c r="AD22" s="33"/>
      <c r="AE22" s="33">
        <f t="shared" si="4"/>
        <v>0</v>
      </c>
      <c r="AF22" s="33">
        <f t="shared" si="5"/>
        <v>0</v>
      </c>
    </row>
    <row r="23" spans="1:32" x14ac:dyDescent="0.2">
      <c r="A23" s="26">
        <v>10</v>
      </c>
      <c r="B23" s="26"/>
      <c r="C23" s="28"/>
      <c r="D23" s="30"/>
      <c r="E23" s="29">
        <f>IF(C23&gt;=3,0,IF((D23-P23)&gt;введ!C$11,введ!C$11,IF((D23-P23)&lt;=введ!C$11,D23-P23,0)))</f>
        <v>0</v>
      </c>
      <c r="F23" s="29">
        <f t="shared" si="6"/>
        <v>0</v>
      </c>
      <c r="G23" s="30"/>
      <c r="H23" s="30"/>
      <c r="I23" s="30"/>
      <c r="J23" s="33">
        <f t="shared" si="7"/>
        <v>0</v>
      </c>
      <c r="K23" s="11">
        <f>IF(C23=0,0,IF(C23&gt;1,0,IF(D23&lt;=введ!C$20*25,J23/100,J23/10)))</f>
        <v>0</v>
      </c>
      <c r="L23" s="11">
        <f>IF(C23=0,0,IF(C23=1,0,IF(C23&gt;=3,J23/10,IF(C23=2,IF(D23&lt;=введ!C$20*25,J23/100,J23/10)))))</f>
        <v>0</v>
      </c>
      <c r="M23" s="30"/>
      <c r="N23" s="33">
        <f t="shared" si="0"/>
        <v>0</v>
      </c>
      <c r="O23" s="26"/>
      <c r="P23" s="33">
        <f t="shared" si="8"/>
        <v>0</v>
      </c>
      <c r="Q23" s="30"/>
      <c r="R23" s="33">
        <f t="shared" si="1"/>
        <v>0</v>
      </c>
      <c r="S23" s="33">
        <f>IF(OR(R23&lt;=0,),0,MIN(MAX(введ!$C$11,R23),введ!$C$14))</f>
        <v>0</v>
      </c>
      <c r="T23" s="33">
        <f>ROUND(S23*введ!C$15,0)</f>
        <v>0</v>
      </c>
      <c r="U23" s="30"/>
      <c r="V23" s="33">
        <f t="shared" si="9"/>
        <v>0</v>
      </c>
      <c r="W23" s="34">
        <f t="shared" si="2"/>
        <v>0</v>
      </c>
      <c r="X23" s="30"/>
      <c r="Y23" s="10"/>
      <c r="Z23" s="33">
        <f t="shared" si="3"/>
        <v>0</v>
      </c>
      <c r="AA23" s="33">
        <f>IF(OR(Z23&lt;=0,),0,MIN(MIN(введ!$C$17,Z23),введ!$C$17))</f>
        <v>0</v>
      </c>
      <c r="AB23" s="33">
        <f>AA23*введ!C$18</f>
        <v>0</v>
      </c>
      <c r="AC23" s="33">
        <f>AA23*введ!C$22</f>
        <v>0</v>
      </c>
      <c r="AD23" s="33"/>
      <c r="AE23" s="33">
        <f t="shared" si="4"/>
        <v>0</v>
      </c>
      <c r="AF23" s="33">
        <f t="shared" si="5"/>
        <v>0</v>
      </c>
    </row>
    <row r="24" spans="1:32" x14ac:dyDescent="0.2">
      <c r="A24" s="26">
        <v>11</v>
      </c>
      <c r="B24" s="26"/>
      <c r="C24" s="28"/>
      <c r="D24" s="30"/>
      <c r="E24" s="29">
        <f>IF(C24&gt;=3,0,IF((D24-P24)&gt;введ!C$11,введ!C$11,IF((D24-P24)&lt;=введ!C$11,D24-P24,0)))</f>
        <v>0</v>
      </c>
      <c r="F24" s="29">
        <f t="shared" si="6"/>
        <v>0</v>
      </c>
      <c r="G24" s="30"/>
      <c r="H24" s="30"/>
      <c r="I24" s="30"/>
      <c r="J24" s="33">
        <f t="shared" si="7"/>
        <v>0</v>
      </c>
      <c r="K24" s="11">
        <f>IF(C24=0,0,IF(C24&gt;1,0,IF(D24&lt;=введ!C$20*25,J24/100,J24/10)))</f>
        <v>0</v>
      </c>
      <c r="L24" s="11">
        <f>IF(C24=0,0,IF(C24=1,0,IF(C24&gt;=3,J24/10,IF(C24=2,IF(D24&lt;=введ!C$20*25,J24/100,J24/10)))))</f>
        <v>0</v>
      </c>
      <c r="M24" s="30"/>
      <c r="N24" s="33">
        <f t="shared" si="0"/>
        <v>0</v>
      </c>
      <c r="O24" s="26"/>
      <c r="P24" s="33">
        <f t="shared" si="8"/>
        <v>0</v>
      </c>
      <c r="Q24" s="30"/>
      <c r="R24" s="33">
        <f t="shared" si="1"/>
        <v>0</v>
      </c>
      <c r="S24" s="33">
        <f>IF(OR(R24&lt;=0,),0,MIN(MAX(введ!$C$11,R24),введ!$C$14))</f>
        <v>0</v>
      </c>
      <c r="T24" s="33">
        <f>ROUND(S24*введ!C$15,0)</f>
        <v>0</v>
      </c>
      <c r="U24" s="30"/>
      <c r="V24" s="33">
        <f t="shared" si="9"/>
        <v>0</v>
      </c>
      <c r="W24" s="34">
        <f t="shared" si="2"/>
        <v>0</v>
      </c>
      <c r="X24" s="30"/>
      <c r="Y24" s="10"/>
      <c r="Z24" s="33">
        <f t="shared" si="3"/>
        <v>0</v>
      </c>
      <c r="AA24" s="33">
        <f>IF(OR(Z24&lt;=0,),0,MIN(MIN(введ!$C$17,Z24),введ!$C$17))</f>
        <v>0</v>
      </c>
      <c r="AB24" s="33">
        <f>AA24*введ!C$18</f>
        <v>0</v>
      </c>
      <c r="AC24" s="33">
        <f>AA24*введ!C$22</f>
        <v>0</v>
      </c>
      <c r="AD24" s="33"/>
      <c r="AE24" s="33">
        <f t="shared" si="4"/>
        <v>0</v>
      </c>
      <c r="AF24" s="33">
        <f t="shared" si="5"/>
        <v>0</v>
      </c>
    </row>
    <row r="25" spans="1:32" x14ac:dyDescent="0.2">
      <c r="A25" s="26">
        <v>12</v>
      </c>
      <c r="B25" s="26"/>
      <c r="C25" s="28"/>
      <c r="D25" s="30"/>
      <c r="E25" s="29">
        <f>IF(C25&gt;=3,0,IF((D25-P25)&gt;введ!C$11,введ!C$11,IF((D25-P25)&lt;=введ!C$11,D25-P25,0)))</f>
        <v>0</v>
      </c>
      <c r="F25" s="29">
        <f t="shared" si="6"/>
        <v>0</v>
      </c>
      <c r="G25" s="30"/>
      <c r="H25" s="30"/>
      <c r="I25" s="30"/>
      <c r="J25" s="33">
        <f t="shared" si="7"/>
        <v>0</v>
      </c>
      <c r="K25" s="11">
        <f>IF(C25=0,0,IF(C25&gt;1,0,IF(D25&lt;=введ!C$20*25,J25/100,J25/10)))</f>
        <v>0</v>
      </c>
      <c r="L25" s="11">
        <f>IF(C25=0,0,IF(C25=1,0,IF(C25&gt;=3,J25/10,IF(C25=2,IF(D25&lt;=введ!C$20*25,J25/100,J25/10)))))</f>
        <v>0</v>
      </c>
      <c r="M25" s="30"/>
      <c r="N25" s="33">
        <f t="shared" si="0"/>
        <v>0</v>
      </c>
      <c r="O25" s="26"/>
      <c r="P25" s="33">
        <f t="shared" si="8"/>
        <v>0</v>
      </c>
      <c r="Q25" s="30"/>
      <c r="R25" s="33">
        <f t="shared" si="1"/>
        <v>0</v>
      </c>
      <c r="S25" s="33">
        <f>IF(OR(R25&lt;=0,),0,MIN(MAX(введ!$C$11,R25),введ!$C$14))</f>
        <v>0</v>
      </c>
      <c r="T25" s="33">
        <f>ROUND(S25*введ!C$15,0)</f>
        <v>0</v>
      </c>
      <c r="U25" s="30"/>
      <c r="V25" s="33">
        <f t="shared" si="9"/>
        <v>0</v>
      </c>
      <c r="W25" s="34">
        <f t="shared" si="2"/>
        <v>0</v>
      </c>
      <c r="X25" s="30"/>
      <c r="Y25" s="10"/>
      <c r="Z25" s="33">
        <f t="shared" si="3"/>
        <v>0</v>
      </c>
      <c r="AA25" s="33">
        <f>IF(OR(Z25&lt;=0,),0,MIN(MIN(введ!$C$17,Z25),введ!$C$17))</f>
        <v>0</v>
      </c>
      <c r="AB25" s="33">
        <f>AA25*введ!C$18</f>
        <v>0</v>
      </c>
      <c r="AC25" s="33">
        <f>AA25*введ!C$22</f>
        <v>0</v>
      </c>
      <c r="AD25" s="33"/>
      <c r="AE25" s="33">
        <f t="shared" si="4"/>
        <v>0</v>
      </c>
      <c r="AF25" s="33">
        <f t="shared" si="5"/>
        <v>0</v>
      </c>
    </row>
    <row r="26" spans="1:32" x14ac:dyDescent="0.2">
      <c r="A26" s="402" t="s">
        <v>72</v>
      </c>
      <c r="B26" s="403"/>
      <c r="C26" s="15"/>
      <c r="D26" s="33">
        <f>SUM(D14:D25)</f>
        <v>600000</v>
      </c>
      <c r="E26" s="33">
        <f t="shared" ref="E26:V26" si="10">SUM(E14:E25)</f>
        <v>85000</v>
      </c>
      <c r="F26" s="33">
        <f t="shared" si="10"/>
        <v>8000</v>
      </c>
      <c r="G26" s="33">
        <f>SUM(G14:G25)</f>
        <v>0</v>
      </c>
      <c r="H26" s="33">
        <f>SUM(H14:H25)</f>
        <v>0</v>
      </c>
      <c r="I26" s="33">
        <f>SUM(I14:I25)</f>
        <v>0</v>
      </c>
      <c r="J26" s="33">
        <f>SUM(J14:J25)</f>
        <v>467000</v>
      </c>
      <c r="K26" s="33">
        <f t="shared" si="10"/>
        <v>11590</v>
      </c>
      <c r="L26" s="33">
        <f t="shared" si="10"/>
        <v>35110</v>
      </c>
      <c r="M26" s="33">
        <f t="shared" si="10"/>
        <v>0</v>
      </c>
      <c r="N26" s="33">
        <f t="shared" si="10"/>
        <v>400000</v>
      </c>
      <c r="O26" s="34">
        <f>SUM(O14:O25)</f>
        <v>0</v>
      </c>
      <c r="P26" s="33">
        <f>SUM(P14:P25)</f>
        <v>40000</v>
      </c>
      <c r="Q26" s="33">
        <f t="shared" si="10"/>
        <v>0</v>
      </c>
      <c r="R26" s="33">
        <f t="shared" si="10"/>
        <v>360000</v>
      </c>
      <c r="S26" s="33">
        <f t="shared" si="10"/>
        <v>360000</v>
      </c>
      <c r="T26" s="33">
        <f>SUM(T14:T25)</f>
        <v>12600</v>
      </c>
      <c r="U26" s="33">
        <f t="shared" si="10"/>
        <v>0</v>
      </c>
      <c r="V26" s="33">
        <f t="shared" si="10"/>
        <v>0</v>
      </c>
      <c r="W26" s="34">
        <f t="shared" ref="W26:AC26" si="11">SUM(W14:W25)</f>
        <v>3</v>
      </c>
      <c r="X26" s="33">
        <f t="shared" si="11"/>
        <v>0</v>
      </c>
      <c r="Y26" s="33">
        <f t="shared" si="11"/>
        <v>0</v>
      </c>
      <c r="Z26" s="33">
        <f t="shared" si="11"/>
        <v>400000</v>
      </c>
      <c r="AA26" s="33">
        <f t="shared" si="11"/>
        <v>400000</v>
      </c>
      <c r="AB26" s="33">
        <f t="shared" si="11"/>
        <v>8000</v>
      </c>
      <c r="AC26" s="33">
        <f t="shared" si="11"/>
        <v>8000</v>
      </c>
      <c r="AD26" s="45">
        <f>IF(D26&gt;0,D26/W26,0)</f>
        <v>200000</v>
      </c>
      <c r="AE26" s="33">
        <f t="shared" ref="AE26:AF26" si="12">SUM(AE14:AE25)</f>
        <v>180000</v>
      </c>
      <c r="AF26" s="33">
        <f t="shared" si="12"/>
        <v>420000</v>
      </c>
    </row>
    <row r="27" spans="1:32" x14ac:dyDescent="0.2">
      <c r="A27" s="22"/>
      <c r="B27" s="22"/>
      <c r="C27" s="22"/>
      <c r="D27" s="22"/>
    </row>
    <row r="28" spans="1:32" x14ac:dyDescent="0.2">
      <c r="A28" s="36" t="s">
        <v>62</v>
      </c>
    </row>
    <row r="30" spans="1:32" x14ac:dyDescent="0.2">
      <c r="A30" s="22"/>
      <c r="B30" s="22"/>
      <c r="C30" s="22"/>
      <c r="D30" s="22"/>
    </row>
    <row r="31" spans="1:32" x14ac:dyDescent="0.2">
      <c r="A31" s="36" t="s">
        <v>63</v>
      </c>
    </row>
    <row r="33" spans="1:4" x14ac:dyDescent="0.2">
      <c r="A33" s="22"/>
      <c r="B33" s="22"/>
      <c r="C33" s="22"/>
      <c r="D33" s="22"/>
    </row>
    <row r="34" spans="1:4" x14ac:dyDescent="0.2">
      <c r="A34" s="36" t="s">
        <v>73</v>
      </c>
    </row>
    <row r="36" spans="1:4" x14ac:dyDescent="0.2">
      <c r="A36" s="22"/>
      <c r="B36" s="22"/>
      <c r="C36" s="22"/>
    </row>
    <row r="37" spans="1:4" x14ac:dyDescent="0.2">
      <c r="A37" s="36" t="s">
        <v>64</v>
      </c>
    </row>
    <row r="38" spans="1:4" x14ac:dyDescent="0.2">
      <c r="A38" s="25"/>
      <c r="B38" s="25"/>
      <c r="C38" s="25"/>
      <c r="D38" s="25"/>
    </row>
  </sheetData>
  <mergeCells count="2">
    <mergeCell ref="A11:H11"/>
    <mergeCell ref="A26:B26"/>
  </mergeCells>
  <phoneticPr fontId="1" type="noConversion"/>
  <pageMargins left="0.75" right="0.75" top="1" bottom="1" header="0.5" footer="0.5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8"/>
  <dimension ref="A2:AF38"/>
  <sheetViews>
    <sheetView topLeftCell="A13" workbookViewId="0">
      <pane xSplit="2" ySplit="1" topLeftCell="C14" activePane="bottomRight" state="frozen"/>
      <selection activeCell="A13" sqref="A13"/>
      <selection pane="topRight" activeCell="C13" sqref="C13"/>
      <selection pane="bottomLeft" activeCell="A14" sqref="A14"/>
      <selection pane="bottomRight" activeCell="K28" sqref="K28"/>
    </sheetView>
  </sheetViews>
  <sheetFormatPr defaultColWidth="8.7109375" defaultRowHeight="12.75" x14ac:dyDescent="0.2"/>
  <cols>
    <col min="1" max="1" width="5.85546875" style="16" customWidth="1"/>
    <col min="2" max="2" width="18.5703125" style="16" customWidth="1"/>
    <col min="3" max="3" width="14.5703125" style="16" customWidth="1"/>
    <col min="4" max="4" width="23.7109375" style="16" customWidth="1"/>
    <col min="5" max="5" width="12" style="16" bestFit="1" customWidth="1"/>
    <col min="6" max="6" width="11" style="16" bestFit="1" customWidth="1"/>
    <col min="7" max="8" width="8.85546875" style="16" bestFit="1" customWidth="1"/>
    <col min="9" max="9" width="11" style="16" customWidth="1"/>
    <col min="10" max="10" width="12" style="16" customWidth="1"/>
    <col min="11" max="11" width="10" style="16" customWidth="1"/>
    <col min="12" max="12" width="12.5703125" style="16" customWidth="1"/>
    <col min="13" max="13" width="8.85546875" style="16" bestFit="1" customWidth="1"/>
    <col min="14" max="14" width="10.42578125" style="16" customWidth="1"/>
    <col min="15" max="15" width="10.28515625" style="16" customWidth="1"/>
    <col min="16" max="16" width="15.42578125" style="16" customWidth="1"/>
    <col min="17" max="17" width="16" style="16" customWidth="1"/>
    <col min="18" max="18" width="19.7109375" style="16" customWidth="1"/>
    <col min="19" max="19" width="13" style="16" customWidth="1"/>
    <col min="20" max="20" width="11" style="16" bestFit="1" customWidth="1"/>
    <col min="21" max="22" width="8.85546875" style="16" bestFit="1" customWidth="1"/>
    <col min="23" max="23" width="8.7109375" style="16" bestFit="1" customWidth="1"/>
    <col min="24" max="24" width="15.28515625" style="19" bestFit="1" customWidth="1"/>
    <col min="25" max="26" width="14.7109375" style="16" bestFit="1" customWidth="1"/>
    <col min="27" max="27" width="13.140625" style="16" bestFit="1" customWidth="1"/>
    <col min="28" max="28" width="11.85546875" style="16" customWidth="1"/>
    <col min="29" max="29" width="13.5703125" style="16" bestFit="1" customWidth="1"/>
    <col min="30" max="30" width="11" style="16" customWidth="1"/>
    <col min="31" max="31" width="11.85546875" style="16" customWidth="1"/>
    <col min="32" max="32" width="13.140625" style="16" bestFit="1" customWidth="1"/>
    <col min="33" max="16384" width="8.7109375" style="16"/>
  </cols>
  <sheetData>
    <row r="2" spans="1:32" x14ac:dyDescent="0.2">
      <c r="K2" s="18"/>
      <c r="S2" s="17" t="s">
        <v>14</v>
      </c>
    </row>
    <row r="3" spans="1:32" x14ac:dyDescent="0.2">
      <c r="A3" s="20"/>
      <c r="B3" s="20"/>
      <c r="C3" s="20"/>
      <c r="D3" s="20"/>
    </row>
    <row r="4" spans="1:32" x14ac:dyDescent="0.2">
      <c r="A4" s="21" t="s">
        <v>67</v>
      </c>
      <c r="B4" s="22"/>
      <c r="C4" s="21"/>
      <c r="D4" s="21"/>
    </row>
    <row r="6" spans="1:32" x14ac:dyDescent="0.2">
      <c r="A6" s="16">
        <v>1</v>
      </c>
      <c r="B6" s="21" t="s">
        <v>68</v>
      </c>
      <c r="C6" s="21"/>
      <c r="D6" s="21"/>
    </row>
    <row r="7" spans="1:32" x14ac:dyDescent="0.2">
      <c r="A7" s="16">
        <v>2</v>
      </c>
      <c r="B7" s="23" t="s">
        <v>15</v>
      </c>
      <c r="C7" s="23"/>
      <c r="D7" s="24">
        <f>'910.00'!D8</f>
        <v>111111111111</v>
      </c>
    </row>
    <row r="8" spans="1:32" x14ac:dyDescent="0.2">
      <c r="A8" s="16">
        <v>3</v>
      </c>
      <c r="B8" s="21" t="s">
        <v>90</v>
      </c>
      <c r="C8" s="21"/>
      <c r="D8" s="21" t="str">
        <f>IF('910.00'!L12=1,"май","ноябрь")</f>
        <v>май</v>
      </c>
      <c r="E8" s="16">
        <f>'910.00'!O12</f>
        <v>2021</v>
      </c>
    </row>
    <row r="9" spans="1:32" x14ac:dyDescent="0.2">
      <c r="A9" s="25"/>
      <c r="B9" s="25"/>
      <c r="C9" s="25"/>
      <c r="D9" s="25"/>
      <c r="E9" s="25"/>
      <c r="F9" s="25"/>
      <c r="G9" s="25"/>
    </row>
    <row r="10" spans="1:32" ht="43.5" customHeight="1" x14ac:dyDescent="0.2">
      <c r="A10" s="401" t="s">
        <v>166</v>
      </c>
      <c r="B10" s="401"/>
      <c r="C10" s="401"/>
      <c r="D10" s="401"/>
      <c r="E10" s="401"/>
      <c r="F10" s="401"/>
      <c r="G10" s="401"/>
      <c r="H10" s="401"/>
    </row>
    <row r="11" spans="1:32" x14ac:dyDescent="0.2">
      <c r="A11" s="25"/>
      <c r="B11" s="25"/>
      <c r="C11" s="25"/>
      <c r="D11" s="25"/>
      <c r="E11" s="25"/>
      <c r="F11" s="25"/>
      <c r="G11" s="25"/>
    </row>
    <row r="12" spans="1:32" x14ac:dyDescent="0.2">
      <c r="A12" s="25"/>
      <c r="B12" s="25"/>
      <c r="C12" s="25"/>
      <c r="D12" s="25"/>
      <c r="E12" s="25"/>
      <c r="F12" s="25"/>
      <c r="G12" s="25"/>
    </row>
    <row r="13" spans="1:32" ht="153" x14ac:dyDescent="0.2">
      <c r="A13" s="13" t="s">
        <v>69</v>
      </c>
      <c r="B13" s="13" t="s">
        <v>70</v>
      </c>
      <c r="C13" s="13" t="s">
        <v>376</v>
      </c>
      <c r="D13" s="13" t="s">
        <v>71</v>
      </c>
      <c r="E13" s="13" t="s">
        <v>196</v>
      </c>
      <c r="F13" s="13" t="s">
        <v>195</v>
      </c>
      <c r="G13" s="13" t="s">
        <v>261</v>
      </c>
      <c r="H13" s="13" t="s">
        <v>194</v>
      </c>
      <c r="I13" s="13" t="s">
        <v>259</v>
      </c>
      <c r="J13" s="13" t="s">
        <v>74</v>
      </c>
      <c r="K13" s="13" t="s">
        <v>129</v>
      </c>
      <c r="L13" s="13" t="s">
        <v>130</v>
      </c>
      <c r="M13" s="13" t="s">
        <v>75</v>
      </c>
      <c r="N13" s="13" t="s">
        <v>76</v>
      </c>
      <c r="O13" s="13" t="s">
        <v>101</v>
      </c>
      <c r="P13" s="13" t="s">
        <v>77</v>
      </c>
      <c r="Q13" s="13" t="s">
        <v>78</v>
      </c>
      <c r="R13" s="13" t="s">
        <v>79</v>
      </c>
      <c r="S13" s="13" t="s">
        <v>80</v>
      </c>
      <c r="T13" s="13" t="s">
        <v>81</v>
      </c>
      <c r="U13" s="13" t="s">
        <v>91</v>
      </c>
      <c r="V13" s="13" t="s">
        <v>92</v>
      </c>
      <c r="W13" s="13" t="s">
        <v>93</v>
      </c>
      <c r="X13" s="13" t="s">
        <v>118</v>
      </c>
      <c r="Y13" s="13"/>
      <c r="Z13" s="13" t="s">
        <v>176</v>
      </c>
      <c r="AA13" s="13" t="s">
        <v>119</v>
      </c>
      <c r="AB13" s="13" t="s">
        <v>121</v>
      </c>
      <c r="AC13" s="13" t="s">
        <v>191</v>
      </c>
      <c r="AD13" s="13" t="s">
        <v>126</v>
      </c>
      <c r="AE13" s="13" t="s">
        <v>254</v>
      </c>
      <c r="AF13" s="13" t="s">
        <v>255</v>
      </c>
    </row>
    <row r="14" spans="1:32" x14ac:dyDescent="0.2">
      <c r="A14" s="26">
        <v>1</v>
      </c>
      <c r="B14" s="26" t="s">
        <v>372</v>
      </c>
      <c r="C14" s="28">
        <v>1</v>
      </c>
      <c r="D14" s="30">
        <v>180000</v>
      </c>
      <c r="E14" s="29">
        <f>IF(C14&gt;=3,0,IF((D14-P14)&gt;введ!C$11,введ!C$11,IF((D14-P14)&lt;=введ!C$11,D14-P14,0)))</f>
        <v>42500</v>
      </c>
      <c r="F14" s="29">
        <f>IF(AC14&gt;0,AC14,0)</f>
        <v>3600</v>
      </c>
      <c r="G14" s="30"/>
      <c r="H14" s="30"/>
      <c r="I14" s="30"/>
      <c r="J14" s="33">
        <f>IF(C14&gt;=3,D14-I14,D14-I14-E14-P14-F14-H14-G14)</f>
        <v>115900</v>
      </c>
      <c r="K14" s="11">
        <f>IF(C14=0,0,IF(C14&gt;1,0,IF(D14&lt;=введ!C$20*25,J14/100,J14/10)))</f>
        <v>11590</v>
      </c>
      <c r="L14" s="11">
        <f>IF(C14=0,0,IF(C14=1,0,IF(C14&gt;=3,J14/10,IF(C14=2,IF(D14&lt;=введ!C$20*25,J14/100,J14/10)))))</f>
        <v>0</v>
      </c>
      <c r="M14" s="30"/>
      <c r="N14" s="33">
        <f t="shared" ref="N14:N25" si="0">IF(C14=3,0,IF(O14=1,0,D14-M14))</f>
        <v>180000</v>
      </c>
      <c r="O14" s="26"/>
      <c r="P14" s="33">
        <f>N14*10%</f>
        <v>18000</v>
      </c>
      <c r="Q14" s="30"/>
      <c r="R14" s="33">
        <f t="shared" ref="R14:R25" si="1">IF(C14=3,0,IF(O14=1,0,D14-P14-Q14))</f>
        <v>162000</v>
      </c>
      <c r="S14" s="33">
        <f>IF(OR(R14&lt;=0,),0,MIN(MAX(введ!$C$11,R14),введ!$C$14))</f>
        <v>162000</v>
      </c>
      <c r="T14" s="33">
        <f>ROUND(S14*введ!C$15,0)</f>
        <v>5670</v>
      </c>
      <c r="U14" s="30"/>
      <c r="V14" s="33">
        <f>ROUND(U14*0.05,0)</f>
        <v>0</v>
      </c>
      <c r="W14" s="34">
        <f t="shared" ref="W14:W25" si="2">IF(D14=0,0,1)</f>
        <v>1</v>
      </c>
      <c r="X14" s="30"/>
      <c r="Y14" s="10"/>
      <c r="Z14" s="33">
        <f t="shared" ref="Z14:Z25" si="3">IF(C14=3,0,IF(O14=1,0,D14-X14))</f>
        <v>180000</v>
      </c>
      <c r="AA14" s="33">
        <f>IF(OR(Z14&lt;=0,),0,MIN(MIN(введ!$C$17,Z14),введ!$C$17))</f>
        <v>180000</v>
      </c>
      <c r="AB14" s="33">
        <f>AA14*введ!C$18</f>
        <v>3600</v>
      </c>
      <c r="AC14" s="33">
        <f>AA14*введ!C$22</f>
        <v>3600</v>
      </c>
      <c r="AD14" s="33"/>
      <c r="AE14" s="33">
        <f t="shared" ref="AE14:AE25" si="4">IF(C14=1,D14,0)</f>
        <v>180000</v>
      </c>
      <c r="AF14" s="33">
        <f t="shared" ref="AF14:AF25" si="5">IF(C14&gt;1,D14,0)</f>
        <v>0</v>
      </c>
    </row>
    <row r="15" spans="1:32" x14ac:dyDescent="0.2">
      <c r="A15" s="26">
        <v>2</v>
      </c>
      <c r="B15" s="26" t="s">
        <v>375</v>
      </c>
      <c r="C15" s="28">
        <v>3</v>
      </c>
      <c r="D15" s="30">
        <v>200000</v>
      </c>
      <c r="E15" s="29">
        <f>IF(C15&gt;=3,0,IF((D15-P15)&gt;введ!C$11,введ!C$11,IF((D15-P15)&lt;=введ!C$11,D15-P15,0)))</f>
        <v>0</v>
      </c>
      <c r="F15" s="29">
        <f t="shared" ref="F15:F25" si="6">IF(AC15&gt;0,AC15,0)</f>
        <v>0</v>
      </c>
      <c r="G15" s="30"/>
      <c r="H15" s="30"/>
      <c r="I15" s="30"/>
      <c r="J15" s="33">
        <f t="shared" ref="J15:J25" si="7">IF(C15&gt;=3,D15-I15,D15-I15-E15-P15-F15-H15-G15)</f>
        <v>200000</v>
      </c>
      <c r="K15" s="11">
        <f>IF(C15=0,0,IF(C15&gt;1,0,IF(D15&lt;=введ!C$20*25,J15/100,J15/10)))</f>
        <v>0</v>
      </c>
      <c r="L15" s="11">
        <f>IF(C15=0,0,IF(C15=1,0,IF(C15&gt;=3,J15/10,IF(C15=2,IF(D15&lt;=введ!C$20*25,J15/100,J15/10)))))</f>
        <v>20000</v>
      </c>
      <c r="M15" s="30"/>
      <c r="N15" s="33">
        <f t="shared" si="0"/>
        <v>0</v>
      </c>
      <c r="O15" s="26"/>
      <c r="P15" s="33">
        <f t="shared" ref="P15:P25" si="8">N15*10%</f>
        <v>0</v>
      </c>
      <c r="Q15" s="30"/>
      <c r="R15" s="33">
        <f t="shared" si="1"/>
        <v>0</v>
      </c>
      <c r="S15" s="33">
        <f>IF(OR(R15&lt;=0,),0,MIN(MAX(введ!$C$11,R15),введ!$C$14))</f>
        <v>0</v>
      </c>
      <c r="T15" s="33">
        <f>ROUND(S15*введ!C$15,0)</f>
        <v>0</v>
      </c>
      <c r="U15" s="30"/>
      <c r="V15" s="33">
        <f t="shared" ref="V15:V25" si="9">ROUND(U15*0.05,0)</f>
        <v>0</v>
      </c>
      <c r="W15" s="34">
        <f t="shared" si="2"/>
        <v>1</v>
      </c>
      <c r="X15" s="30"/>
      <c r="Y15" s="10"/>
      <c r="Z15" s="33">
        <f t="shared" si="3"/>
        <v>0</v>
      </c>
      <c r="AA15" s="33">
        <f>IF(OR(Z15&lt;=0,),0,MIN(MIN(введ!$C$17,Z15),введ!$C$17))</f>
        <v>0</v>
      </c>
      <c r="AB15" s="33">
        <f>AA15*введ!C$18</f>
        <v>0</v>
      </c>
      <c r="AC15" s="33">
        <f>AA15*введ!C$22</f>
        <v>0</v>
      </c>
      <c r="AD15" s="33"/>
      <c r="AE15" s="33">
        <f t="shared" si="4"/>
        <v>0</v>
      </c>
      <c r="AF15" s="33">
        <f t="shared" si="5"/>
        <v>200000</v>
      </c>
    </row>
    <row r="16" spans="1:32" x14ac:dyDescent="0.2">
      <c r="A16" s="26">
        <v>3</v>
      </c>
      <c r="B16" s="26" t="s">
        <v>373</v>
      </c>
      <c r="C16" s="28">
        <v>2</v>
      </c>
      <c r="D16" s="30">
        <v>220000</v>
      </c>
      <c r="E16" s="29">
        <f>IF(C16&gt;=3,0,IF((D16-P16)&gt;введ!C$11,введ!C$11,IF((D16-P16)&lt;=введ!C$11,D16-P16,0)))</f>
        <v>42500</v>
      </c>
      <c r="F16" s="29">
        <f t="shared" si="6"/>
        <v>4400</v>
      </c>
      <c r="G16" s="30"/>
      <c r="H16" s="30"/>
      <c r="I16" s="30"/>
      <c r="J16" s="33">
        <f t="shared" si="7"/>
        <v>151100</v>
      </c>
      <c r="K16" s="11">
        <f>IF(C16=0,0,IF(C16&gt;1,0,IF(D16&lt;=введ!C$20*25,J16/100,J16/10)))</f>
        <v>0</v>
      </c>
      <c r="L16" s="11">
        <f>IF(C16=0,0,IF(C16=1,0,IF(C16&gt;=3,J16/10,IF(C16=2,IF(D16&lt;=введ!C$20*25,J16/100,J16/10)))))</f>
        <v>15110</v>
      </c>
      <c r="M16" s="30"/>
      <c r="N16" s="33">
        <f t="shared" si="0"/>
        <v>220000</v>
      </c>
      <c r="O16" s="26"/>
      <c r="P16" s="33">
        <f t="shared" si="8"/>
        <v>22000</v>
      </c>
      <c r="Q16" s="30"/>
      <c r="R16" s="33">
        <f t="shared" si="1"/>
        <v>198000</v>
      </c>
      <c r="S16" s="33">
        <f>IF(OR(R16&lt;=0,),0,MIN(MAX(введ!$C$11,R16),введ!$C$14))</f>
        <v>198000</v>
      </c>
      <c r="T16" s="33">
        <f>ROUND(S16*введ!C$15,0)</f>
        <v>6930</v>
      </c>
      <c r="U16" s="30"/>
      <c r="V16" s="33">
        <f t="shared" si="9"/>
        <v>0</v>
      </c>
      <c r="W16" s="34">
        <f t="shared" si="2"/>
        <v>1</v>
      </c>
      <c r="X16" s="30"/>
      <c r="Y16" s="10"/>
      <c r="Z16" s="33">
        <f t="shared" si="3"/>
        <v>220000</v>
      </c>
      <c r="AA16" s="33">
        <f>IF(OR(Z16&lt;=0,),0,MIN(MIN(введ!$C$17,Z16),введ!$C$17))</f>
        <v>220000</v>
      </c>
      <c r="AB16" s="33">
        <f>AA16*введ!C$18</f>
        <v>4400</v>
      </c>
      <c r="AC16" s="33">
        <f>AA16*введ!C$22</f>
        <v>4400</v>
      </c>
      <c r="AD16" s="33"/>
      <c r="AE16" s="33">
        <f t="shared" si="4"/>
        <v>0</v>
      </c>
      <c r="AF16" s="33">
        <f t="shared" si="5"/>
        <v>220000</v>
      </c>
    </row>
    <row r="17" spans="1:32" x14ac:dyDescent="0.2">
      <c r="A17" s="26">
        <v>4</v>
      </c>
      <c r="B17" s="26"/>
      <c r="C17" s="28"/>
      <c r="D17" s="30"/>
      <c r="E17" s="29">
        <f>IF(C17&gt;=3,0,IF((D17-P17)&gt;введ!C$11,введ!C$11,IF((D17-P17)&lt;=введ!C$11,D17-P17,0)))</f>
        <v>0</v>
      </c>
      <c r="F17" s="29">
        <f t="shared" si="6"/>
        <v>0</v>
      </c>
      <c r="G17" s="30"/>
      <c r="H17" s="30"/>
      <c r="I17" s="30"/>
      <c r="J17" s="33">
        <f t="shared" si="7"/>
        <v>0</v>
      </c>
      <c r="K17" s="11">
        <f>IF(C17=0,0,IF(C17&gt;1,0,IF(D17&lt;=введ!C$20*25,J17/100,J17/10)))</f>
        <v>0</v>
      </c>
      <c r="L17" s="11">
        <f>IF(C17=0,0,IF(C17=1,0,IF(C17&gt;=3,J17/10,IF(C17=2,IF(D17&lt;=введ!C$20*25,J17/100,J17/10)))))</f>
        <v>0</v>
      </c>
      <c r="M17" s="30"/>
      <c r="N17" s="33">
        <f t="shared" si="0"/>
        <v>0</v>
      </c>
      <c r="O17" s="26"/>
      <c r="P17" s="33">
        <f t="shared" si="8"/>
        <v>0</v>
      </c>
      <c r="Q17" s="30"/>
      <c r="R17" s="33">
        <f t="shared" si="1"/>
        <v>0</v>
      </c>
      <c r="S17" s="33">
        <f>IF(OR(R17&lt;=0,),0,MIN(MAX(введ!$C$11,R17),введ!$C$14))</f>
        <v>0</v>
      </c>
      <c r="T17" s="33">
        <f>ROUND(S17*введ!C$15,0)</f>
        <v>0</v>
      </c>
      <c r="U17" s="30"/>
      <c r="V17" s="33">
        <f t="shared" si="9"/>
        <v>0</v>
      </c>
      <c r="W17" s="34">
        <f t="shared" si="2"/>
        <v>0</v>
      </c>
      <c r="X17" s="30"/>
      <c r="Y17" s="10"/>
      <c r="Z17" s="33">
        <f t="shared" si="3"/>
        <v>0</v>
      </c>
      <c r="AA17" s="33">
        <f>IF(OR(Z17&lt;=0,),0,MIN(MIN(введ!$C$17,Z17),введ!$C$17))</f>
        <v>0</v>
      </c>
      <c r="AB17" s="33">
        <f>AA17*введ!C$18</f>
        <v>0</v>
      </c>
      <c r="AC17" s="33">
        <f>AA17*введ!C$22</f>
        <v>0</v>
      </c>
      <c r="AD17" s="33"/>
      <c r="AE17" s="33">
        <f t="shared" si="4"/>
        <v>0</v>
      </c>
      <c r="AF17" s="33">
        <f t="shared" si="5"/>
        <v>0</v>
      </c>
    </row>
    <row r="18" spans="1:32" x14ac:dyDescent="0.2">
      <c r="A18" s="26">
        <v>5</v>
      </c>
      <c r="B18" s="26"/>
      <c r="C18" s="28"/>
      <c r="D18" s="30"/>
      <c r="E18" s="29">
        <f>IF(C18&gt;=3,0,IF((D18-P18)&gt;введ!C$11,введ!C$11,IF((D18-P18)&lt;=введ!C$11,D18-P18,0)))</f>
        <v>0</v>
      </c>
      <c r="F18" s="29">
        <f t="shared" si="6"/>
        <v>0</v>
      </c>
      <c r="G18" s="30"/>
      <c r="H18" s="30"/>
      <c r="I18" s="30"/>
      <c r="J18" s="33">
        <f t="shared" si="7"/>
        <v>0</v>
      </c>
      <c r="K18" s="11">
        <f>IF(C18=0,0,IF(C18&gt;1,0,IF(D18&lt;=введ!C$20*25,J18/100,J18/10)))</f>
        <v>0</v>
      </c>
      <c r="L18" s="11">
        <f>IF(C18=0,0,IF(C18=1,0,IF(C18&gt;=3,J18/10,IF(C18=2,IF(D18&lt;=введ!C$20*25,J18/100,J18/10)))))</f>
        <v>0</v>
      </c>
      <c r="M18" s="30"/>
      <c r="N18" s="33">
        <f t="shared" si="0"/>
        <v>0</v>
      </c>
      <c r="O18" s="26"/>
      <c r="P18" s="33">
        <f t="shared" si="8"/>
        <v>0</v>
      </c>
      <c r="Q18" s="30"/>
      <c r="R18" s="33">
        <f t="shared" si="1"/>
        <v>0</v>
      </c>
      <c r="S18" s="33">
        <f>IF(OR(R18&lt;=0,),0,MIN(MAX(введ!$C$11,R18),введ!$C$14))</f>
        <v>0</v>
      </c>
      <c r="T18" s="33">
        <f>ROUND(S18*введ!C$15,0)</f>
        <v>0</v>
      </c>
      <c r="U18" s="30"/>
      <c r="V18" s="33">
        <f t="shared" si="9"/>
        <v>0</v>
      </c>
      <c r="W18" s="34">
        <f t="shared" si="2"/>
        <v>0</v>
      </c>
      <c r="X18" s="30"/>
      <c r="Y18" s="10"/>
      <c r="Z18" s="33">
        <f t="shared" si="3"/>
        <v>0</v>
      </c>
      <c r="AA18" s="33">
        <f>IF(OR(Z18&lt;=0,),0,MIN(MIN(введ!$C$17,Z18),введ!$C$17))</f>
        <v>0</v>
      </c>
      <c r="AB18" s="33">
        <f>AA18*введ!C$18</f>
        <v>0</v>
      </c>
      <c r="AC18" s="33">
        <f>AA18*введ!C$22</f>
        <v>0</v>
      </c>
      <c r="AD18" s="33"/>
      <c r="AE18" s="33">
        <f t="shared" si="4"/>
        <v>0</v>
      </c>
      <c r="AF18" s="33">
        <f t="shared" si="5"/>
        <v>0</v>
      </c>
    </row>
    <row r="19" spans="1:32" x14ac:dyDescent="0.2">
      <c r="A19" s="26">
        <v>6</v>
      </c>
      <c r="B19" s="26"/>
      <c r="C19" s="28"/>
      <c r="D19" s="30"/>
      <c r="E19" s="29">
        <f>IF(C19&gt;=3,0,IF((D19-P19)&gt;введ!C$11,введ!C$11,IF((D19-P19)&lt;=введ!C$11,D19-P19,0)))</f>
        <v>0</v>
      </c>
      <c r="F19" s="29">
        <f t="shared" si="6"/>
        <v>0</v>
      </c>
      <c r="G19" s="30"/>
      <c r="H19" s="30"/>
      <c r="I19" s="30"/>
      <c r="J19" s="33">
        <f t="shared" si="7"/>
        <v>0</v>
      </c>
      <c r="K19" s="11">
        <f>IF(C19=0,0,IF(C19&gt;1,0,IF(D19&lt;=введ!C$20*25,J19/100,J19/10)))</f>
        <v>0</v>
      </c>
      <c r="L19" s="11">
        <f>IF(C19=0,0,IF(C19=1,0,IF(C19&gt;=3,J19/10,IF(C19=2,IF(D19&lt;=введ!C$20*25,J19/100,J19/10)))))</f>
        <v>0</v>
      </c>
      <c r="M19" s="30"/>
      <c r="N19" s="33">
        <f t="shared" si="0"/>
        <v>0</v>
      </c>
      <c r="O19" s="26"/>
      <c r="P19" s="33">
        <f t="shared" si="8"/>
        <v>0</v>
      </c>
      <c r="Q19" s="30"/>
      <c r="R19" s="33">
        <f t="shared" si="1"/>
        <v>0</v>
      </c>
      <c r="S19" s="33">
        <f>IF(OR(R19&lt;=0,),0,MIN(MAX(введ!$C$11,R19),введ!$C$14))</f>
        <v>0</v>
      </c>
      <c r="T19" s="33">
        <f>ROUND(S19*введ!C$15,0)</f>
        <v>0</v>
      </c>
      <c r="U19" s="30"/>
      <c r="V19" s="33">
        <f t="shared" si="9"/>
        <v>0</v>
      </c>
      <c r="W19" s="34">
        <f t="shared" si="2"/>
        <v>0</v>
      </c>
      <c r="X19" s="30"/>
      <c r="Y19" s="10"/>
      <c r="Z19" s="33">
        <f t="shared" si="3"/>
        <v>0</v>
      </c>
      <c r="AA19" s="33">
        <f>IF(OR(Z19&lt;=0,),0,MIN(MIN(введ!$C$17,Z19),введ!$C$17))</f>
        <v>0</v>
      </c>
      <c r="AB19" s="33">
        <f>AA19*введ!C$18</f>
        <v>0</v>
      </c>
      <c r="AC19" s="33">
        <f>AA19*введ!C$22</f>
        <v>0</v>
      </c>
      <c r="AD19" s="33"/>
      <c r="AE19" s="33">
        <f t="shared" si="4"/>
        <v>0</v>
      </c>
      <c r="AF19" s="33">
        <f t="shared" si="5"/>
        <v>0</v>
      </c>
    </row>
    <row r="20" spans="1:32" x14ac:dyDescent="0.2">
      <c r="A20" s="26">
        <v>7</v>
      </c>
      <c r="B20" s="26"/>
      <c r="C20" s="28"/>
      <c r="D20" s="30"/>
      <c r="E20" s="29">
        <f>IF(C20&gt;=3,0,IF((D20-P20)&gt;введ!C$11,введ!C$11,IF((D20-P20)&lt;=введ!C$11,D20-P20,0)))</f>
        <v>0</v>
      </c>
      <c r="F20" s="29">
        <f t="shared" si="6"/>
        <v>0</v>
      </c>
      <c r="G20" s="30"/>
      <c r="H20" s="30"/>
      <c r="I20" s="30"/>
      <c r="J20" s="33">
        <f t="shared" si="7"/>
        <v>0</v>
      </c>
      <c r="K20" s="11">
        <f>IF(C20=0,0,IF(C20&gt;1,0,IF(D20&lt;=введ!C$20*25,J20/100,J20/10)))</f>
        <v>0</v>
      </c>
      <c r="L20" s="11">
        <f>IF(C20=0,0,IF(C20=1,0,IF(C20&gt;=3,J20/10,IF(C20=2,IF(D20&lt;=введ!C$20*25,J20/100,J20/10)))))</f>
        <v>0</v>
      </c>
      <c r="M20" s="30"/>
      <c r="N20" s="33">
        <f t="shared" si="0"/>
        <v>0</v>
      </c>
      <c r="O20" s="26"/>
      <c r="P20" s="33">
        <f t="shared" si="8"/>
        <v>0</v>
      </c>
      <c r="Q20" s="30"/>
      <c r="R20" s="33">
        <f t="shared" si="1"/>
        <v>0</v>
      </c>
      <c r="S20" s="33">
        <f>IF(OR(R20&lt;=0,),0,MIN(MAX(введ!$C$11,R20),введ!$C$14))</f>
        <v>0</v>
      </c>
      <c r="T20" s="33">
        <f>ROUND(S20*введ!C$15,0)</f>
        <v>0</v>
      </c>
      <c r="U20" s="30"/>
      <c r="V20" s="33">
        <f t="shared" si="9"/>
        <v>0</v>
      </c>
      <c r="W20" s="34">
        <f t="shared" si="2"/>
        <v>0</v>
      </c>
      <c r="X20" s="30"/>
      <c r="Y20" s="10"/>
      <c r="Z20" s="33">
        <f t="shared" si="3"/>
        <v>0</v>
      </c>
      <c r="AA20" s="33">
        <f>IF(OR(Z20&lt;=0,),0,MIN(MIN(введ!$C$17,Z20),введ!$C$17))</f>
        <v>0</v>
      </c>
      <c r="AB20" s="33">
        <f>AA20*введ!C$18</f>
        <v>0</v>
      </c>
      <c r="AC20" s="33">
        <f>AA20*введ!C$22</f>
        <v>0</v>
      </c>
      <c r="AD20" s="33"/>
      <c r="AE20" s="33">
        <f t="shared" si="4"/>
        <v>0</v>
      </c>
      <c r="AF20" s="33">
        <f t="shared" si="5"/>
        <v>0</v>
      </c>
    </row>
    <row r="21" spans="1:32" x14ac:dyDescent="0.2">
      <c r="A21" s="26">
        <v>8</v>
      </c>
      <c r="B21" s="26"/>
      <c r="C21" s="28"/>
      <c r="D21" s="30"/>
      <c r="E21" s="29">
        <f>IF(C21&gt;=3,0,IF((D21-P21)&gt;введ!C$11,введ!C$11,IF((D21-P21)&lt;=введ!C$11,D21-P21,0)))</f>
        <v>0</v>
      </c>
      <c r="F21" s="29">
        <f t="shared" si="6"/>
        <v>0</v>
      </c>
      <c r="G21" s="30"/>
      <c r="H21" s="30"/>
      <c r="I21" s="30"/>
      <c r="J21" s="33">
        <f t="shared" si="7"/>
        <v>0</v>
      </c>
      <c r="K21" s="11">
        <f>IF(C21=0,0,IF(C21&gt;1,0,IF(D21&lt;=введ!C$20*25,J21/100,J21/10)))</f>
        <v>0</v>
      </c>
      <c r="L21" s="11">
        <f>IF(C21=0,0,IF(C21=1,0,IF(C21&gt;=3,J21/10,IF(C21=2,IF(D21&lt;=введ!C$20*25,J21/100,J21/10)))))</f>
        <v>0</v>
      </c>
      <c r="M21" s="30"/>
      <c r="N21" s="33">
        <f t="shared" si="0"/>
        <v>0</v>
      </c>
      <c r="O21" s="26"/>
      <c r="P21" s="33">
        <f t="shared" si="8"/>
        <v>0</v>
      </c>
      <c r="Q21" s="30"/>
      <c r="R21" s="33">
        <f t="shared" si="1"/>
        <v>0</v>
      </c>
      <c r="S21" s="33">
        <f>IF(OR(R21&lt;=0,),0,MIN(MAX(введ!$C$11,R21),введ!$C$14))</f>
        <v>0</v>
      </c>
      <c r="T21" s="33">
        <f>ROUND(S21*введ!C$15,0)</f>
        <v>0</v>
      </c>
      <c r="U21" s="30"/>
      <c r="V21" s="33">
        <f t="shared" si="9"/>
        <v>0</v>
      </c>
      <c r="W21" s="34">
        <f t="shared" si="2"/>
        <v>0</v>
      </c>
      <c r="X21" s="30"/>
      <c r="Y21" s="10"/>
      <c r="Z21" s="33">
        <f t="shared" si="3"/>
        <v>0</v>
      </c>
      <c r="AA21" s="33">
        <f>IF(OR(Z21&lt;=0,),0,MIN(MIN(введ!$C$17,Z21),введ!$C$17))</f>
        <v>0</v>
      </c>
      <c r="AB21" s="33">
        <f>AA21*введ!C$18</f>
        <v>0</v>
      </c>
      <c r="AC21" s="33">
        <f>AA21*введ!C$22</f>
        <v>0</v>
      </c>
      <c r="AD21" s="33"/>
      <c r="AE21" s="33">
        <f t="shared" si="4"/>
        <v>0</v>
      </c>
      <c r="AF21" s="33">
        <f t="shared" si="5"/>
        <v>0</v>
      </c>
    </row>
    <row r="22" spans="1:32" x14ac:dyDescent="0.2">
      <c r="A22" s="26">
        <v>9</v>
      </c>
      <c r="B22" s="26"/>
      <c r="C22" s="28"/>
      <c r="D22" s="30"/>
      <c r="E22" s="29">
        <f>IF(C22&gt;=3,0,IF((D22-P22)&gt;введ!C$11,введ!C$11,IF((D22-P22)&lt;=введ!C$11,D22-P22,0)))</f>
        <v>0</v>
      </c>
      <c r="F22" s="29">
        <f t="shared" si="6"/>
        <v>0</v>
      </c>
      <c r="G22" s="30"/>
      <c r="H22" s="30"/>
      <c r="I22" s="30"/>
      <c r="J22" s="33">
        <f t="shared" si="7"/>
        <v>0</v>
      </c>
      <c r="K22" s="11">
        <f>IF(C22=0,0,IF(C22&gt;1,0,IF(D22&lt;=введ!C$20*25,J22/100,J22/10)))</f>
        <v>0</v>
      </c>
      <c r="L22" s="11">
        <f>IF(C22=0,0,IF(C22=1,0,IF(C22&gt;=3,J22/10,IF(C22=2,IF(D22&lt;=введ!C$20*25,J22/100,J22/10)))))</f>
        <v>0</v>
      </c>
      <c r="M22" s="30"/>
      <c r="N22" s="33">
        <f t="shared" si="0"/>
        <v>0</v>
      </c>
      <c r="O22" s="26"/>
      <c r="P22" s="33">
        <f t="shared" si="8"/>
        <v>0</v>
      </c>
      <c r="Q22" s="30"/>
      <c r="R22" s="33">
        <f t="shared" si="1"/>
        <v>0</v>
      </c>
      <c r="S22" s="33">
        <f>IF(OR(R22&lt;=0,),0,MIN(MAX(введ!$C$11,R22),введ!$C$14))</f>
        <v>0</v>
      </c>
      <c r="T22" s="33">
        <f>ROUND(S22*введ!C$15,0)</f>
        <v>0</v>
      </c>
      <c r="U22" s="30"/>
      <c r="V22" s="33">
        <f t="shared" si="9"/>
        <v>0</v>
      </c>
      <c r="W22" s="34">
        <f t="shared" si="2"/>
        <v>0</v>
      </c>
      <c r="X22" s="30"/>
      <c r="Y22" s="10"/>
      <c r="Z22" s="33">
        <f t="shared" si="3"/>
        <v>0</v>
      </c>
      <c r="AA22" s="33">
        <f>IF(OR(Z22&lt;=0,),0,MIN(MIN(введ!$C$17,Z22),введ!$C$17))</f>
        <v>0</v>
      </c>
      <c r="AB22" s="33">
        <f>AA22*введ!C$18</f>
        <v>0</v>
      </c>
      <c r="AC22" s="33">
        <f>AA22*введ!C$22</f>
        <v>0</v>
      </c>
      <c r="AD22" s="33"/>
      <c r="AE22" s="33">
        <f t="shared" si="4"/>
        <v>0</v>
      </c>
      <c r="AF22" s="33">
        <f t="shared" si="5"/>
        <v>0</v>
      </c>
    </row>
    <row r="23" spans="1:32" x14ac:dyDescent="0.2">
      <c r="A23" s="26">
        <v>10</v>
      </c>
      <c r="B23" s="26"/>
      <c r="C23" s="28"/>
      <c r="D23" s="30"/>
      <c r="E23" s="29">
        <f>IF(C23&gt;=3,0,IF((D23-P23)&gt;введ!C$11,введ!C$11,IF((D23-P23)&lt;=введ!C$11,D23-P23,0)))</f>
        <v>0</v>
      </c>
      <c r="F23" s="29">
        <f t="shared" si="6"/>
        <v>0</v>
      </c>
      <c r="G23" s="30"/>
      <c r="H23" s="30"/>
      <c r="I23" s="30"/>
      <c r="J23" s="33">
        <f t="shared" si="7"/>
        <v>0</v>
      </c>
      <c r="K23" s="11">
        <f>IF(C23=0,0,IF(C23&gt;1,0,IF(D23&lt;=введ!C$20*25,J23/100,J23/10)))</f>
        <v>0</v>
      </c>
      <c r="L23" s="11">
        <f>IF(C23=0,0,IF(C23=1,0,IF(C23&gt;=3,J23/10,IF(C23=2,IF(D23&lt;=введ!C$20*25,J23/100,J23/10)))))</f>
        <v>0</v>
      </c>
      <c r="M23" s="30"/>
      <c r="N23" s="33">
        <f t="shared" si="0"/>
        <v>0</v>
      </c>
      <c r="O23" s="26"/>
      <c r="P23" s="33">
        <f t="shared" si="8"/>
        <v>0</v>
      </c>
      <c r="Q23" s="30"/>
      <c r="R23" s="33">
        <f t="shared" si="1"/>
        <v>0</v>
      </c>
      <c r="S23" s="33">
        <f>IF(OR(R23&lt;=0,),0,MIN(MAX(введ!$C$11,R23),введ!$C$14))</f>
        <v>0</v>
      </c>
      <c r="T23" s="33">
        <f>ROUND(S23*введ!C$15,0)</f>
        <v>0</v>
      </c>
      <c r="U23" s="30"/>
      <c r="V23" s="33">
        <f t="shared" si="9"/>
        <v>0</v>
      </c>
      <c r="W23" s="34">
        <f t="shared" si="2"/>
        <v>0</v>
      </c>
      <c r="X23" s="30"/>
      <c r="Y23" s="10"/>
      <c r="Z23" s="33">
        <f t="shared" si="3"/>
        <v>0</v>
      </c>
      <c r="AA23" s="33">
        <f>IF(OR(Z23&lt;=0,),0,MIN(MIN(введ!$C$17,Z23),введ!$C$17))</f>
        <v>0</v>
      </c>
      <c r="AB23" s="33">
        <f>AA23*введ!C$18</f>
        <v>0</v>
      </c>
      <c r="AC23" s="33">
        <f>AA23*введ!C$22</f>
        <v>0</v>
      </c>
      <c r="AD23" s="33"/>
      <c r="AE23" s="33">
        <f t="shared" si="4"/>
        <v>0</v>
      </c>
      <c r="AF23" s="33">
        <f t="shared" si="5"/>
        <v>0</v>
      </c>
    </row>
    <row r="24" spans="1:32" x14ac:dyDescent="0.2">
      <c r="A24" s="26">
        <v>11</v>
      </c>
      <c r="B24" s="26"/>
      <c r="C24" s="28"/>
      <c r="D24" s="30"/>
      <c r="E24" s="29">
        <f>IF(C24&gt;=3,0,IF((D24-P24)&gt;введ!C$11,введ!C$11,IF((D24-P24)&lt;=введ!C$11,D24-P24,0)))</f>
        <v>0</v>
      </c>
      <c r="F24" s="29">
        <f t="shared" si="6"/>
        <v>0</v>
      </c>
      <c r="G24" s="30"/>
      <c r="H24" s="30"/>
      <c r="I24" s="30"/>
      <c r="J24" s="33">
        <f t="shared" si="7"/>
        <v>0</v>
      </c>
      <c r="K24" s="11">
        <f>IF(C24=0,0,IF(C24&gt;1,0,IF(D24&lt;=введ!C$20*25,J24/100,J24/10)))</f>
        <v>0</v>
      </c>
      <c r="L24" s="11">
        <f>IF(C24=0,0,IF(C24=1,0,IF(C24&gt;=3,J24/10,IF(C24=2,IF(D24&lt;=введ!C$20*25,J24/100,J24/10)))))</f>
        <v>0</v>
      </c>
      <c r="M24" s="30"/>
      <c r="N24" s="33">
        <f t="shared" si="0"/>
        <v>0</v>
      </c>
      <c r="O24" s="26"/>
      <c r="P24" s="33">
        <f t="shared" si="8"/>
        <v>0</v>
      </c>
      <c r="Q24" s="30"/>
      <c r="R24" s="33">
        <f t="shared" si="1"/>
        <v>0</v>
      </c>
      <c r="S24" s="33">
        <f>IF(OR(R24&lt;=0,),0,MIN(MAX(введ!$C$11,R24),введ!$C$14))</f>
        <v>0</v>
      </c>
      <c r="T24" s="33">
        <f>ROUND(S24*введ!C$15,0)</f>
        <v>0</v>
      </c>
      <c r="U24" s="30"/>
      <c r="V24" s="33">
        <f t="shared" si="9"/>
        <v>0</v>
      </c>
      <c r="W24" s="34">
        <f t="shared" si="2"/>
        <v>0</v>
      </c>
      <c r="X24" s="30"/>
      <c r="Y24" s="10"/>
      <c r="Z24" s="33">
        <f t="shared" si="3"/>
        <v>0</v>
      </c>
      <c r="AA24" s="33">
        <f>IF(OR(Z24&lt;=0,),0,MIN(MIN(введ!$C$17,Z24),введ!$C$17))</f>
        <v>0</v>
      </c>
      <c r="AB24" s="33">
        <f>AA24*введ!C$18</f>
        <v>0</v>
      </c>
      <c r="AC24" s="33">
        <f>AA24*введ!C$22</f>
        <v>0</v>
      </c>
      <c r="AD24" s="33"/>
      <c r="AE24" s="33">
        <f t="shared" si="4"/>
        <v>0</v>
      </c>
      <c r="AF24" s="33">
        <f t="shared" si="5"/>
        <v>0</v>
      </c>
    </row>
    <row r="25" spans="1:32" x14ac:dyDescent="0.2">
      <c r="A25" s="26">
        <v>12</v>
      </c>
      <c r="B25" s="26"/>
      <c r="C25" s="28"/>
      <c r="D25" s="30"/>
      <c r="E25" s="29">
        <f>IF(C25&gt;=3,0,IF((D25-P25)&gt;введ!C$11,введ!C$11,IF((D25-P25)&lt;=введ!C$11,D25-P25,0)))</f>
        <v>0</v>
      </c>
      <c r="F25" s="29">
        <f t="shared" si="6"/>
        <v>0</v>
      </c>
      <c r="G25" s="30"/>
      <c r="H25" s="30"/>
      <c r="I25" s="30"/>
      <c r="J25" s="33">
        <f t="shared" si="7"/>
        <v>0</v>
      </c>
      <c r="K25" s="11">
        <f>IF(C25=0,0,IF(C25&gt;1,0,IF(D25&lt;=введ!C$20*25,J25/100,J25/10)))</f>
        <v>0</v>
      </c>
      <c r="L25" s="11">
        <f>IF(C25=0,0,IF(C25=1,0,IF(C25&gt;=3,J25/10,IF(C25=2,IF(D25&lt;=введ!C$20*25,J25/100,J25/10)))))</f>
        <v>0</v>
      </c>
      <c r="M25" s="30"/>
      <c r="N25" s="33">
        <f t="shared" si="0"/>
        <v>0</v>
      </c>
      <c r="O25" s="26"/>
      <c r="P25" s="33">
        <f t="shared" si="8"/>
        <v>0</v>
      </c>
      <c r="Q25" s="30"/>
      <c r="R25" s="33">
        <f t="shared" si="1"/>
        <v>0</v>
      </c>
      <c r="S25" s="33">
        <f>IF(OR(R25&lt;=0,),0,MIN(MAX(введ!$C$11,R25),введ!$C$14))</f>
        <v>0</v>
      </c>
      <c r="T25" s="33">
        <f>ROUND(S25*введ!C$15,0)</f>
        <v>0</v>
      </c>
      <c r="U25" s="30"/>
      <c r="V25" s="33">
        <f t="shared" si="9"/>
        <v>0</v>
      </c>
      <c r="W25" s="34">
        <f t="shared" si="2"/>
        <v>0</v>
      </c>
      <c r="X25" s="30"/>
      <c r="Y25" s="10"/>
      <c r="Z25" s="33">
        <f t="shared" si="3"/>
        <v>0</v>
      </c>
      <c r="AA25" s="33">
        <f>IF(OR(Z25&lt;=0,),0,MIN(MIN(введ!$C$17,Z25),введ!$C$17))</f>
        <v>0</v>
      </c>
      <c r="AB25" s="33">
        <f>AA25*введ!C$18</f>
        <v>0</v>
      </c>
      <c r="AC25" s="33">
        <f>AA25*введ!C$22</f>
        <v>0</v>
      </c>
      <c r="AD25" s="33"/>
      <c r="AE25" s="33">
        <f t="shared" si="4"/>
        <v>0</v>
      </c>
      <c r="AF25" s="33">
        <f t="shared" si="5"/>
        <v>0</v>
      </c>
    </row>
    <row r="26" spans="1:32" x14ac:dyDescent="0.2">
      <c r="A26" s="402" t="s">
        <v>72</v>
      </c>
      <c r="B26" s="403"/>
      <c r="C26" s="15"/>
      <c r="D26" s="33">
        <f>SUM(D14:D25)</f>
        <v>600000</v>
      </c>
      <c r="E26" s="33">
        <f t="shared" ref="E26:V26" si="10">SUM(E14:E25)</f>
        <v>85000</v>
      </c>
      <c r="F26" s="33">
        <f t="shared" si="10"/>
        <v>8000</v>
      </c>
      <c r="G26" s="33">
        <f>SUM(G14:G25)</f>
        <v>0</v>
      </c>
      <c r="H26" s="33">
        <f>SUM(H14:H25)</f>
        <v>0</v>
      </c>
      <c r="I26" s="33">
        <f>SUM(I14:I25)</f>
        <v>0</v>
      </c>
      <c r="J26" s="33">
        <f>SUM(J14:J25)</f>
        <v>467000</v>
      </c>
      <c r="K26" s="33">
        <f t="shared" si="10"/>
        <v>11590</v>
      </c>
      <c r="L26" s="33">
        <f t="shared" si="10"/>
        <v>35110</v>
      </c>
      <c r="M26" s="33">
        <f t="shared" si="10"/>
        <v>0</v>
      </c>
      <c r="N26" s="33">
        <f t="shared" si="10"/>
        <v>400000</v>
      </c>
      <c r="O26" s="34">
        <f>SUM(O14:O25)</f>
        <v>0</v>
      </c>
      <c r="P26" s="33">
        <f>SUM(P14:P25)</f>
        <v>40000</v>
      </c>
      <c r="Q26" s="33">
        <f t="shared" si="10"/>
        <v>0</v>
      </c>
      <c r="R26" s="33">
        <f t="shared" si="10"/>
        <v>360000</v>
      </c>
      <c r="S26" s="33">
        <f t="shared" si="10"/>
        <v>360000</v>
      </c>
      <c r="T26" s="33">
        <f>SUM(T14:T25)</f>
        <v>12600</v>
      </c>
      <c r="U26" s="33">
        <f t="shared" si="10"/>
        <v>0</v>
      </c>
      <c r="V26" s="33">
        <f t="shared" si="10"/>
        <v>0</v>
      </c>
      <c r="W26" s="34">
        <f t="shared" ref="W26:AC26" si="11">SUM(W14:W25)</f>
        <v>3</v>
      </c>
      <c r="X26" s="33">
        <f t="shared" si="11"/>
        <v>0</v>
      </c>
      <c r="Y26" s="33">
        <f t="shared" si="11"/>
        <v>0</v>
      </c>
      <c r="Z26" s="33">
        <f t="shared" si="11"/>
        <v>400000</v>
      </c>
      <c r="AA26" s="33">
        <f t="shared" si="11"/>
        <v>400000</v>
      </c>
      <c r="AB26" s="33">
        <f t="shared" si="11"/>
        <v>8000</v>
      </c>
      <c r="AC26" s="33">
        <f t="shared" si="11"/>
        <v>8000</v>
      </c>
      <c r="AD26" s="33">
        <f>IF(D26&gt;0,D26/W26,0)</f>
        <v>200000</v>
      </c>
      <c r="AE26" s="33">
        <f t="shared" ref="AE26:AF26" si="12">SUM(AE14:AE25)</f>
        <v>180000</v>
      </c>
      <c r="AF26" s="33">
        <f t="shared" si="12"/>
        <v>420000</v>
      </c>
    </row>
    <row r="27" spans="1:32" x14ac:dyDescent="0.2">
      <c r="A27" s="22"/>
      <c r="B27" s="22"/>
      <c r="C27" s="22"/>
      <c r="D27" s="22"/>
    </row>
    <row r="28" spans="1:32" x14ac:dyDescent="0.2">
      <c r="A28" s="36" t="s">
        <v>62</v>
      </c>
    </row>
    <row r="30" spans="1:32" x14ac:dyDescent="0.2">
      <c r="A30" s="22"/>
      <c r="B30" s="22"/>
      <c r="C30" s="22"/>
      <c r="D30" s="22"/>
    </row>
    <row r="31" spans="1:32" x14ac:dyDescent="0.2">
      <c r="A31" s="36" t="s">
        <v>63</v>
      </c>
    </row>
    <row r="33" spans="1:4" x14ac:dyDescent="0.2">
      <c r="A33" s="22"/>
      <c r="B33" s="22"/>
      <c r="C33" s="22"/>
      <c r="D33" s="22"/>
    </row>
    <row r="34" spans="1:4" x14ac:dyDescent="0.2">
      <c r="A34" s="36" t="s">
        <v>73</v>
      </c>
    </row>
    <row r="36" spans="1:4" x14ac:dyDescent="0.2">
      <c r="A36" s="22"/>
      <c r="B36" s="22"/>
      <c r="C36" s="22"/>
    </row>
    <row r="37" spans="1:4" x14ac:dyDescent="0.2">
      <c r="A37" s="36" t="s">
        <v>64</v>
      </c>
    </row>
    <row r="38" spans="1:4" x14ac:dyDescent="0.2">
      <c r="A38" s="25"/>
      <c r="B38" s="25"/>
      <c r="C38" s="25"/>
      <c r="D38" s="25"/>
    </row>
  </sheetData>
  <mergeCells count="2">
    <mergeCell ref="A10:H10"/>
    <mergeCell ref="A26:B26"/>
  </mergeCells>
  <pageMargins left="0.75" right="0.75" top="1" bottom="1" header="0.5" footer="0.5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9"/>
  <dimension ref="A2:AF38"/>
  <sheetViews>
    <sheetView topLeftCell="A13" workbookViewId="0">
      <pane xSplit="2" ySplit="1" topLeftCell="C14" activePane="bottomRight" state="frozen"/>
      <selection activeCell="A13" sqref="A13"/>
      <selection pane="topRight" activeCell="C13" sqref="C13"/>
      <selection pane="bottomLeft" activeCell="A14" sqref="A14"/>
      <selection pane="bottomRight" activeCell="M28" sqref="M28"/>
    </sheetView>
  </sheetViews>
  <sheetFormatPr defaultColWidth="8.7109375" defaultRowHeight="12.75" x14ac:dyDescent="0.2"/>
  <cols>
    <col min="1" max="1" width="5.85546875" style="16" customWidth="1"/>
    <col min="2" max="2" width="18.5703125" style="16" customWidth="1"/>
    <col min="3" max="3" width="14.5703125" style="16" customWidth="1"/>
    <col min="4" max="4" width="16.85546875" style="16" customWidth="1"/>
    <col min="5" max="7" width="10.140625" style="16" customWidth="1"/>
    <col min="8" max="8" width="10.85546875" style="16" customWidth="1"/>
    <col min="9" max="9" width="11" style="16" customWidth="1"/>
    <col min="10" max="10" width="12.85546875" style="16" customWidth="1"/>
    <col min="11" max="11" width="10" style="16" customWidth="1"/>
    <col min="12" max="12" width="12.5703125" style="16" customWidth="1"/>
    <col min="13" max="13" width="12" style="16" customWidth="1"/>
    <col min="14" max="14" width="13.140625" style="16" customWidth="1"/>
    <col min="15" max="15" width="10.28515625" style="16" customWidth="1"/>
    <col min="16" max="16" width="13.7109375" style="16" customWidth="1"/>
    <col min="17" max="17" width="11.28515625" style="16" customWidth="1"/>
    <col min="18" max="18" width="19.7109375" style="16" customWidth="1"/>
    <col min="19" max="19" width="13" style="16" customWidth="1"/>
    <col min="20" max="20" width="11.140625" style="16" bestFit="1" customWidth="1"/>
    <col min="21" max="21" width="12.7109375" style="16" customWidth="1"/>
    <col min="22" max="22" width="13.7109375" style="16" customWidth="1"/>
    <col min="23" max="23" width="8.7109375" style="16" bestFit="1" customWidth="1"/>
    <col min="24" max="24" width="15.28515625" style="19" bestFit="1" customWidth="1"/>
    <col min="25" max="26" width="14.7109375" style="16" bestFit="1" customWidth="1"/>
    <col min="27" max="27" width="13.140625" style="16" bestFit="1" customWidth="1"/>
    <col min="28" max="28" width="11.85546875" style="16" customWidth="1"/>
    <col min="29" max="29" width="13.5703125" style="16" bestFit="1" customWidth="1"/>
    <col min="30" max="30" width="11.28515625" style="16" customWidth="1"/>
    <col min="31" max="31" width="13.42578125" style="16" customWidth="1"/>
    <col min="32" max="32" width="13.140625" style="16" bestFit="1" customWidth="1"/>
    <col min="33" max="16384" width="8.7109375" style="16"/>
  </cols>
  <sheetData>
    <row r="2" spans="1:32" x14ac:dyDescent="0.2">
      <c r="D2" s="17" t="s">
        <v>14</v>
      </c>
      <c r="K2" s="18"/>
    </row>
    <row r="3" spans="1:32" x14ac:dyDescent="0.2">
      <c r="A3" s="20"/>
      <c r="B3" s="20"/>
      <c r="C3" s="20"/>
      <c r="D3" s="20"/>
    </row>
    <row r="4" spans="1:32" x14ac:dyDescent="0.2">
      <c r="A4" s="21" t="s">
        <v>67</v>
      </c>
      <c r="B4" s="22"/>
      <c r="C4" s="21"/>
      <c r="D4" s="21"/>
    </row>
    <row r="6" spans="1:32" x14ac:dyDescent="0.2">
      <c r="A6" s="16">
        <v>1</v>
      </c>
      <c r="B6" s="21" t="s">
        <v>68</v>
      </c>
      <c r="C6" s="21"/>
      <c r="D6" s="21"/>
    </row>
    <row r="7" spans="1:32" x14ac:dyDescent="0.2">
      <c r="A7" s="16">
        <v>2</v>
      </c>
      <c r="B7" s="23" t="s">
        <v>15</v>
      </c>
      <c r="C7" s="23"/>
      <c r="D7" s="24">
        <f>'910.00'!D8</f>
        <v>111111111111</v>
      </c>
    </row>
    <row r="8" spans="1:32" x14ac:dyDescent="0.2">
      <c r="A8" s="16">
        <v>3</v>
      </c>
      <c r="B8" s="21" t="s">
        <v>90</v>
      </c>
      <c r="C8" s="21"/>
      <c r="D8" s="21" t="str">
        <f>IF('910.00'!L12=1,"июнь","декабрь")</f>
        <v>июнь</v>
      </c>
      <c r="E8" s="16">
        <f>'910.00'!O12</f>
        <v>2021</v>
      </c>
    </row>
    <row r="9" spans="1:32" x14ac:dyDescent="0.2">
      <c r="A9" s="25"/>
      <c r="B9" s="25"/>
      <c r="C9" s="25"/>
      <c r="D9" s="25"/>
      <c r="E9" s="25"/>
      <c r="F9" s="25"/>
      <c r="G9" s="25"/>
    </row>
    <row r="10" spans="1:32" ht="43.5" customHeight="1" x14ac:dyDescent="0.2">
      <c r="A10" s="401" t="s">
        <v>167</v>
      </c>
      <c r="B10" s="401"/>
      <c r="C10" s="401"/>
      <c r="D10" s="401"/>
      <c r="E10" s="401"/>
      <c r="F10" s="401"/>
      <c r="G10" s="401"/>
      <c r="H10" s="401"/>
    </row>
    <row r="11" spans="1:32" x14ac:dyDescent="0.2">
      <c r="A11" s="25"/>
      <c r="B11" s="25"/>
      <c r="C11" s="25"/>
      <c r="D11" s="25"/>
      <c r="E11" s="25"/>
      <c r="F11" s="25"/>
      <c r="G11" s="25"/>
    </row>
    <row r="12" spans="1:32" x14ac:dyDescent="0.2">
      <c r="A12" s="25"/>
      <c r="B12" s="25"/>
      <c r="C12" s="25"/>
      <c r="D12" s="25"/>
      <c r="E12" s="25"/>
      <c r="F12" s="25"/>
      <c r="G12" s="25"/>
    </row>
    <row r="13" spans="1:32" ht="140.25" x14ac:dyDescent="0.2">
      <c r="A13" s="13" t="s">
        <v>69</v>
      </c>
      <c r="B13" s="13" t="s">
        <v>70</v>
      </c>
      <c r="C13" s="13" t="s">
        <v>376</v>
      </c>
      <c r="D13" s="13" t="s">
        <v>71</v>
      </c>
      <c r="E13" s="13" t="s">
        <v>196</v>
      </c>
      <c r="F13" s="13" t="s">
        <v>195</v>
      </c>
      <c r="G13" s="13" t="s">
        <v>261</v>
      </c>
      <c r="H13" s="13" t="s">
        <v>194</v>
      </c>
      <c r="I13" s="13" t="s">
        <v>259</v>
      </c>
      <c r="J13" s="13" t="s">
        <v>74</v>
      </c>
      <c r="K13" s="13" t="s">
        <v>129</v>
      </c>
      <c r="L13" s="13" t="s">
        <v>130</v>
      </c>
      <c r="M13" s="13" t="s">
        <v>75</v>
      </c>
      <c r="N13" s="13" t="s">
        <v>76</v>
      </c>
      <c r="O13" s="13" t="s">
        <v>101</v>
      </c>
      <c r="P13" s="13" t="s">
        <v>77</v>
      </c>
      <c r="Q13" s="13" t="s">
        <v>78</v>
      </c>
      <c r="R13" s="13" t="s">
        <v>79</v>
      </c>
      <c r="S13" s="13" t="s">
        <v>80</v>
      </c>
      <c r="T13" s="13" t="s">
        <v>81</v>
      </c>
      <c r="U13" s="13" t="s">
        <v>91</v>
      </c>
      <c r="V13" s="13" t="s">
        <v>92</v>
      </c>
      <c r="W13" s="13" t="s">
        <v>93</v>
      </c>
      <c r="X13" s="13" t="s">
        <v>118</v>
      </c>
      <c r="Y13" s="13"/>
      <c r="Z13" s="13" t="s">
        <v>176</v>
      </c>
      <c r="AA13" s="13" t="s">
        <v>119</v>
      </c>
      <c r="AB13" s="13" t="s">
        <v>121</v>
      </c>
      <c r="AC13" s="13" t="s">
        <v>191</v>
      </c>
      <c r="AD13" s="13" t="s">
        <v>126</v>
      </c>
      <c r="AE13" s="13" t="s">
        <v>254</v>
      </c>
      <c r="AF13" s="13" t="s">
        <v>255</v>
      </c>
    </row>
    <row r="14" spans="1:32" x14ac:dyDescent="0.2">
      <c r="A14" s="26">
        <v>1</v>
      </c>
      <c r="B14" s="26" t="s">
        <v>372</v>
      </c>
      <c r="C14" s="28">
        <v>1</v>
      </c>
      <c r="D14" s="30">
        <v>180000</v>
      </c>
      <c r="E14" s="29">
        <f>IF(C14&gt;=3,0,IF((D14-P14)&gt;введ!C$11,введ!C$11,IF((D14-P14)&lt;=введ!C$11,D14-P14,0)))</f>
        <v>42500</v>
      </c>
      <c r="F14" s="29">
        <f>IF(AC14&gt;0,AC14,0)</f>
        <v>3600</v>
      </c>
      <c r="G14" s="30"/>
      <c r="H14" s="30"/>
      <c r="I14" s="30"/>
      <c r="J14" s="33">
        <f>IF(C14&gt;=3,D14-I14,D14-I14-E14-P14-F14-H14-G14)</f>
        <v>115900</v>
      </c>
      <c r="K14" s="11">
        <f>IF(C14=0,0,IF(C14&gt;1,0,IF(D14&lt;=введ!C$20*25,J14/100,J14/10)))</f>
        <v>11590</v>
      </c>
      <c r="L14" s="11">
        <f>IF(C14=0,0,IF(C14=1,0,IF(C14&gt;=3,J14/10,IF(C14=2,IF(D14&lt;=введ!C$20*25,J14/100,J14/10)))))</f>
        <v>0</v>
      </c>
      <c r="M14" s="30"/>
      <c r="N14" s="33">
        <f t="shared" ref="N14:N25" si="0">IF(C14=3,0,IF(O14=1,0,D14-M14))</f>
        <v>180000</v>
      </c>
      <c r="O14" s="30"/>
      <c r="P14" s="33">
        <f>N14*10%</f>
        <v>18000</v>
      </c>
      <c r="Q14" s="30"/>
      <c r="R14" s="33">
        <f t="shared" ref="R14:R25" si="1">IF(C14=3,0,IF(O14=1,0,D14-P14-Q14))</f>
        <v>162000</v>
      </c>
      <c r="S14" s="33">
        <f>IF(OR(R14&lt;=0,),0,MIN(MAX(введ!$C$11,R14),введ!$C$14))</f>
        <v>162000</v>
      </c>
      <c r="T14" s="33">
        <f>ROUND(S14*введ!C$15,0)</f>
        <v>5670</v>
      </c>
      <c r="U14" s="30"/>
      <c r="V14" s="33">
        <f>ROUND(U14*0.05,0)</f>
        <v>0</v>
      </c>
      <c r="W14" s="34">
        <f t="shared" ref="W14:W25" si="2">IF(D14=0,0,1)</f>
        <v>1</v>
      </c>
      <c r="X14" s="30"/>
      <c r="Y14" s="10"/>
      <c r="Z14" s="33">
        <f t="shared" ref="Z14:Z25" si="3">IF(C14=3,0,IF(O14=1,0,D14-X14))</f>
        <v>180000</v>
      </c>
      <c r="AA14" s="33">
        <f>IF(OR(Z14&lt;=0,),0,MIN(MIN(введ!$C$17,Z14),введ!$C$17))</f>
        <v>180000</v>
      </c>
      <c r="AB14" s="33">
        <f>AA14*введ!C$18</f>
        <v>3600</v>
      </c>
      <c r="AC14" s="33">
        <f>AA14*введ!C$22</f>
        <v>3600</v>
      </c>
      <c r="AD14" s="33"/>
      <c r="AE14" s="33">
        <f t="shared" ref="AE14:AE25" si="4">IF(C14=1,D14,0)</f>
        <v>180000</v>
      </c>
      <c r="AF14" s="33">
        <f t="shared" ref="AF14:AF25" si="5">IF(C14&gt;1,D14,0)</f>
        <v>0</v>
      </c>
    </row>
    <row r="15" spans="1:32" x14ac:dyDescent="0.2">
      <c r="A15" s="26">
        <v>2</v>
      </c>
      <c r="B15" s="26" t="s">
        <v>375</v>
      </c>
      <c r="C15" s="28">
        <v>3</v>
      </c>
      <c r="D15" s="30">
        <v>200000</v>
      </c>
      <c r="E15" s="29">
        <f>IF(C15&gt;=3,0,IF((D15-P15)&gt;введ!C$11,введ!C$11,IF((D15-P15)&lt;=введ!C$11,D15-P15,0)))</f>
        <v>0</v>
      </c>
      <c r="F15" s="29">
        <f t="shared" ref="F15:F25" si="6">IF(AC15&gt;0,AC15,0)</f>
        <v>0</v>
      </c>
      <c r="G15" s="30"/>
      <c r="H15" s="30"/>
      <c r="I15" s="30"/>
      <c r="J15" s="33">
        <f t="shared" ref="J15:J25" si="7">IF(C15&gt;=3,D15-I15,D15-I15-E15-P15-F15-H15-G15)</f>
        <v>200000</v>
      </c>
      <c r="K15" s="11">
        <f>IF(C15=0,0,IF(C15&gt;1,0,IF(D15&lt;=введ!C$20*25,J15/100,J15/10)))</f>
        <v>0</v>
      </c>
      <c r="L15" s="11">
        <f>IF(C15=0,0,IF(C15=1,0,IF(C15&gt;=3,J15/10,IF(C15=2,IF(D15&lt;=введ!C$20*25,J15/100,J15/10)))))</f>
        <v>20000</v>
      </c>
      <c r="M15" s="30"/>
      <c r="N15" s="33">
        <f t="shared" si="0"/>
        <v>0</v>
      </c>
      <c r="O15" s="30"/>
      <c r="P15" s="33">
        <f t="shared" ref="P15:P25" si="8">N15*10%</f>
        <v>0</v>
      </c>
      <c r="Q15" s="30"/>
      <c r="R15" s="33">
        <f t="shared" si="1"/>
        <v>0</v>
      </c>
      <c r="S15" s="33">
        <f>IF(OR(R15&lt;=0,),0,MIN(MAX(введ!$C$11,R15),введ!$C$14))</f>
        <v>0</v>
      </c>
      <c r="T15" s="33">
        <f>ROUND(S15*введ!C$15,0)</f>
        <v>0</v>
      </c>
      <c r="U15" s="30"/>
      <c r="V15" s="33">
        <f t="shared" ref="V15:V25" si="9">ROUND(U15*0.05,0)</f>
        <v>0</v>
      </c>
      <c r="W15" s="34">
        <f t="shared" si="2"/>
        <v>1</v>
      </c>
      <c r="X15" s="30"/>
      <c r="Y15" s="10"/>
      <c r="Z15" s="33">
        <f t="shared" si="3"/>
        <v>0</v>
      </c>
      <c r="AA15" s="33">
        <f>IF(OR(Z15&lt;=0,),0,MIN(MIN(введ!$C$17,Z15),введ!$C$17))</f>
        <v>0</v>
      </c>
      <c r="AB15" s="33">
        <f>AA15*введ!C$18</f>
        <v>0</v>
      </c>
      <c r="AC15" s="33">
        <f>AA15*введ!C$22</f>
        <v>0</v>
      </c>
      <c r="AD15" s="33"/>
      <c r="AE15" s="33">
        <f t="shared" si="4"/>
        <v>0</v>
      </c>
      <c r="AF15" s="33">
        <f t="shared" si="5"/>
        <v>200000</v>
      </c>
    </row>
    <row r="16" spans="1:32" x14ac:dyDescent="0.2">
      <c r="A16" s="26">
        <v>3</v>
      </c>
      <c r="B16" s="26" t="s">
        <v>373</v>
      </c>
      <c r="C16" s="28">
        <v>2</v>
      </c>
      <c r="D16" s="30">
        <v>220000</v>
      </c>
      <c r="E16" s="29">
        <f>IF(C16&gt;=3,0,IF((D16-P16)&gt;введ!C$11,введ!C$11,IF((D16-P16)&lt;=введ!C$11,D16-P16,0)))</f>
        <v>42500</v>
      </c>
      <c r="F16" s="29">
        <f t="shared" si="6"/>
        <v>4400</v>
      </c>
      <c r="G16" s="30"/>
      <c r="H16" s="30"/>
      <c r="I16" s="30"/>
      <c r="J16" s="33">
        <f t="shared" si="7"/>
        <v>151100</v>
      </c>
      <c r="K16" s="11">
        <f>IF(C16=0,0,IF(C16&gt;1,0,IF(D16&lt;=введ!C$20*25,J16/100,J16/10)))</f>
        <v>0</v>
      </c>
      <c r="L16" s="11">
        <f>IF(C16=0,0,IF(C16=1,0,IF(C16&gt;=3,J16/10,IF(C16=2,IF(D16&lt;=введ!C$20*25,J16/100,J16/10)))))</f>
        <v>15110</v>
      </c>
      <c r="M16" s="30"/>
      <c r="N16" s="33">
        <f t="shared" si="0"/>
        <v>220000</v>
      </c>
      <c r="O16" s="30"/>
      <c r="P16" s="33">
        <f t="shared" si="8"/>
        <v>22000</v>
      </c>
      <c r="Q16" s="30"/>
      <c r="R16" s="33">
        <f t="shared" si="1"/>
        <v>198000</v>
      </c>
      <c r="S16" s="33">
        <f>IF(OR(R16&lt;=0,),0,MIN(MAX(введ!$C$11,R16),введ!$C$14))</f>
        <v>198000</v>
      </c>
      <c r="T16" s="33">
        <f>ROUND(S16*введ!C$15,0)</f>
        <v>6930</v>
      </c>
      <c r="U16" s="30"/>
      <c r="V16" s="33">
        <f t="shared" si="9"/>
        <v>0</v>
      </c>
      <c r="W16" s="34">
        <f t="shared" si="2"/>
        <v>1</v>
      </c>
      <c r="X16" s="30"/>
      <c r="Y16" s="10"/>
      <c r="Z16" s="33">
        <f t="shared" si="3"/>
        <v>220000</v>
      </c>
      <c r="AA16" s="33">
        <f>IF(OR(Z16&lt;=0,),0,MIN(MIN(введ!$C$17,Z16),введ!$C$17))</f>
        <v>220000</v>
      </c>
      <c r="AB16" s="33">
        <f>AA16*введ!C$18</f>
        <v>4400</v>
      </c>
      <c r="AC16" s="33">
        <f>AA16*введ!C$22</f>
        <v>4400</v>
      </c>
      <c r="AD16" s="33"/>
      <c r="AE16" s="33">
        <f t="shared" si="4"/>
        <v>0</v>
      </c>
      <c r="AF16" s="33">
        <f t="shared" si="5"/>
        <v>220000</v>
      </c>
    </row>
    <row r="17" spans="1:32" x14ac:dyDescent="0.2">
      <c r="A17" s="26">
        <v>4</v>
      </c>
      <c r="B17" s="26"/>
      <c r="C17" s="28"/>
      <c r="D17" s="30"/>
      <c r="E17" s="29">
        <f>IF(C17&gt;=3,0,IF((D17-P17)&gt;введ!C$11,введ!C$11,IF((D17-P17)&lt;=введ!C$11,D17-P17,0)))</f>
        <v>0</v>
      </c>
      <c r="F17" s="29">
        <f t="shared" si="6"/>
        <v>0</v>
      </c>
      <c r="G17" s="30"/>
      <c r="H17" s="30"/>
      <c r="I17" s="30"/>
      <c r="J17" s="33">
        <f t="shared" si="7"/>
        <v>0</v>
      </c>
      <c r="K17" s="11">
        <f>IF(C17=0,0,IF(C17&gt;1,0,IF(D17&lt;=введ!C$20*25,J17/100,J17/10)))</f>
        <v>0</v>
      </c>
      <c r="L17" s="11">
        <f>IF(C17=0,0,IF(C17=1,0,IF(C17&gt;=3,J17/10,IF(C17=2,IF(D17&lt;=введ!C$20*25,J17/100,J17/10)))))</f>
        <v>0</v>
      </c>
      <c r="M17" s="30"/>
      <c r="N17" s="33">
        <f t="shared" si="0"/>
        <v>0</v>
      </c>
      <c r="O17" s="30"/>
      <c r="P17" s="33">
        <f t="shared" si="8"/>
        <v>0</v>
      </c>
      <c r="Q17" s="30"/>
      <c r="R17" s="33">
        <f t="shared" si="1"/>
        <v>0</v>
      </c>
      <c r="S17" s="33">
        <f>IF(OR(R17&lt;=0,),0,MIN(MAX(введ!$C$11,R17),введ!$C$14))</f>
        <v>0</v>
      </c>
      <c r="T17" s="33">
        <f>ROUND(S17*введ!C$15,0)</f>
        <v>0</v>
      </c>
      <c r="U17" s="30"/>
      <c r="V17" s="33">
        <f t="shared" si="9"/>
        <v>0</v>
      </c>
      <c r="W17" s="34">
        <f t="shared" si="2"/>
        <v>0</v>
      </c>
      <c r="X17" s="30"/>
      <c r="Y17" s="10"/>
      <c r="Z17" s="33">
        <f t="shared" si="3"/>
        <v>0</v>
      </c>
      <c r="AA17" s="33">
        <f>IF(OR(Z17&lt;=0,),0,MIN(MIN(введ!$C$17,Z17),введ!$C$17))</f>
        <v>0</v>
      </c>
      <c r="AB17" s="33">
        <f>AA17*введ!C$18</f>
        <v>0</v>
      </c>
      <c r="AC17" s="33">
        <f>AA17*введ!C$22</f>
        <v>0</v>
      </c>
      <c r="AD17" s="33"/>
      <c r="AE17" s="33">
        <f t="shared" si="4"/>
        <v>0</v>
      </c>
      <c r="AF17" s="33">
        <f t="shared" si="5"/>
        <v>0</v>
      </c>
    </row>
    <row r="18" spans="1:32" x14ac:dyDescent="0.2">
      <c r="A18" s="26">
        <v>5</v>
      </c>
      <c r="B18" s="26"/>
      <c r="C18" s="28"/>
      <c r="D18" s="30"/>
      <c r="E18" s="29">
        <f>IF(C18&gt;=3,0,IF((D18-P18)&gt;введ!C$11,введ!C$11,IF((D18-P18)&lt;=введ!C$11,D18-P18,0)))</f>
        <v>0</v>
      </c>
      <c r="F18" s="29">
        <f t="shared" si="6"/>
        <v>0</v>
      </c>
      <c r="G18" s="30"/>
      <c r="H18" s="30"/>
      <c r="I18" s="30"/>
      <c r="J18" s="33">
        <f t="shared" si="7"/>
        <v>0</v>
      </c>
      <c r="K18" s="11">
        <f>IF(C18=0,0,IF(C18&gt;1,0,IF(D18&lt;=введ!C$20*25,J18/100,J18/10)))</f>
        <v>0</v>
      </c>
      <c r="L18" s="11">
        <f>IF(C18=0,0,IF(C18=1,0,IF(C18&gt;=3,J18/10,IF(C18=2,IF(D18&lt;=введ!C$20*25,J18/100,J18/10)))))</f>
        <v>0</v>
      </c>
      <c r="M18" s="30"/>
      <c r="N18" s="33">
        <f t="shared" si="0"/>
        <v>0</v>
      </c>
      <c r="O18" s="30"/>
      <c r="P18" s="33">
        <f t="shared" si="8"/>
        <v>0</v>
      </c>
      <c r="Q18" s="30"/>
      <c r="R18" s="33">
        <f t="shared" si="1"/>
        <v>0</v>
      </c>
      <c r="S18" s="33">
        <f>IF(OR(R18&lt;=0,),0,MIN(MAX(введ!$C$11,R18),введ!$C$14))</f>
        <v>0</v>
      </c>
      <c r="T18" s="33">
        <f>ROUND(S18*введ!C$15,0)</f>
        <v>0</v>
      </c>
      <c r="U18" s="30"/>
      <c r="V18" s="33">
        <f t="shared" si="9"/>
        <v>0</v>
      </c>
      <c r="W18" s="34">
        <f t="shared" si="2"/>
        <v>0</v>
      </c>
      <c r="X18" s="30"/>
      <c r="Y18" s="10"/>
      <c r="Z18" s="33">
        <f t="shared" si="3"/>
        <v>0</v>
      </c>
      <c r="AA18" s="33">
        <f>IF(OR(Z18&lt;=0,),0,MIN(MIN(введ!$C$17,Z18),введ!$C$17))</f>
        <v>0</v>
      </c>
      <c r="AB18" s="33">
        <f>AA18*введ!C$18</f>
        <v>0</v>
      </c>
      <c r="AC18" s="33">
        <f>AA18*введ!C$22</f>
        <v>0</v>
      </c>
      <c r="AD18" s="33"/>
      <c r="AE18" s="33">
        <f t="shared" si="4"/>
        <v>0</v>
      </c>
      <c r="AF18" s="33">
        <f t="shared" si="5"/>
        <v>0</v>
      </c>
    </row>
    <row r="19" spans="1:32" x14ac:dyDescent="0.2">
      <c r="A19" s="26">
        <v>6</v>
      </c>
      <c r="B19" s="26"/>
      <c r="C19" s="28"/>
      <c r="D19" s="30"/>
      <c r="E19" s="29">
        <f>IF(C19&gt;=3,0,IF((D19-P19)&gt;введ!C$11,введ!C$11,IF((D19-P19)&lt;=введ!C$11,D19-P19,0)))</f>
        <v>0</v>
      </c>
      <c r="F19" s="29">
        <f t="shared" si="6"/>
        <v>0</v>
      </c>
      <c r="G19" s="30"/>
      <c r="H19" s="30"/>
      <c r="I19" s="30"/>
      <c r="J19" s="33">
        <f t="shared" si="7"/>
        <v>0</v>
      </c>
      <c r="K19" s="11">
        <f>IF(C19=0,0,IF(C19&gt;1,0,IF(D19&lt;=введ!C$20*25,J19/100,J19/10)))</f>
        <v>0</v>
      </c>
      <c r="L19" s="11">
        <f>IF(C19=0,0,IF(C19=1,0,IF(C19&gt;=3,J19/10,IF(C19=2,IF(D19&lt;=введ!C$20*25,J19/100,J19/10)))))</f>
        <v>0</v>
      </c>
      <c r="M19" s="30"/>
      <c r="N19" s="33">
        <f t="shared" si="0"/>
        <v>0</v>
      </c>
      <c r="O19" s="30"/>
      <c r="P19" s="33">
        <f t="shared" si="8"/>
        <v>0</v>
      </c>
      <c r="Q19" s="30"/>
      <c r="R19" s="33">
        <f t="shared" si="1"/>
        <v>0</v>
      </c>
      <c r="S19" s="33">
        <f>IF(OR(R19&lt;=0,),0,MIN(MAX(введ!$C$11,R19),введ!$C$14))</f>
        <v>0</v>
      </c>
      <c r="T19" s="33">
        <f>ROUND(S19*введ!C$15,0)</f>
        <v>0</v>
      </c>
      <c r="U19" s="30"/>
      <c r="V19" s="33">
        <f t="shared" si="9"/>
        <v>0</v>
      </c>
      <c r="W19" s="34">
        <f t="shared" si="2"/>
        <v>0</v>
      </c>
      <c r="X19" s="30"/>
      <c r="Y19" s="10"/>
      <c r="Z19" s="33">
        <f t="shared" si="3"/>
        <v>0</v>
      </c>
      <c r="AA19" s="33">
        <f>IF(OR(Z19&lt;=0,),0,MIN(MIN(введ!$C$17,Z19),введ!$C$17))</f>
        <v>0</v>
      </c>
      <c r="AB19" s="33">
        <f>AA19*введ!C$18</f>
        <v>0</v>
      </c>
      <c r="AC19" s="33">
        <f>AA19*введ!C$22</f>
        <v>0</v>
      </c>
      <c r="AD19" s="33"/>
      <c r="AE19" s="33">
        <f t="shared" si="4"/>
        <v>0</v>
      </c>
      <c r="AF19" s="33">
        <f t="shared" si="5"/>
        <v>0</v>
      </c>
    </row>
    <row r="20" spans="1:32" x14ac:dyDescent="0.2">
      <c r="A20" s="26">
        <v>7</v>
      </c>
      <c r="B20" s="26"/>
      <c r="C20" s="28"/>
      <c r="D20" s="30"/>
      <c r="E20" s="29">
        <f>IF(C20&gt;=3,0,IF((D20-P20)&gt;введ!C$11,введ!C$11,IF((D20-P20)&lt;=введ!C$11,D20-P20,0)))</f>
        <v>0</v>
      </c>
      <c r="F20" s="29">
        <f t="shared" si="6"/>
        <v>0</v>
      </c>
      <c r="G20" s="30"/>
      <c r="H20" s="30"/>
      <c r="I20" s="30"/>
      <c r="J20" s="33">
        <f t="shared" si="7"/>
        <v>0</v>
      </c>
      <c r="K20" s="11">
        <f>IF(C20=0,0,IF(C20&gt;1,0,IF(D20&lt;=введ!C$20*25,J20/100,J20/10)))</f>
        <v>0</v>
      </c>
      <c r="L20" s="11">
        <f>IF(C20=0,0,IF(C20=1,0,IF(C20&gt;=3,J20/10,IF(C20=2,IF(D20&lt;=введ!C$20*25,J20/100,J20/10)))))</f>
        <v>0</v>
      </c>
      <c r="M20" s="30"/>
      <c r="N20" s="33">
        <f t="shared" si="0"/>
        <v>0</v>
      </c>
      <c r="O20" s="30"/>
      <c r="P20" s="33">
        <f t="shared" si="8"/>
        <v>0</v>
      </c>
      <c r="Q20" s="30"/>
      <c r="R20" s="33">
        <f t="shared" si="1"/>
        <v>0</v>
      </c>
      <c r="S20" s="33">
        <f>IF(OR(R20&lt;=0,),0,MIN(MAX(введ!$C$11,R20),введ!$C$14))</f>
        <v>0</v>
      </c>
      <c r="T20" s="33">
        <f>ROUND(S20*введ!C$15,0)</f>
        <v>0</v>
      </c>
      <c r="U20" s="30"/>
      <c r="V20" s="33">
        <f t="shared" si="9"/>
        <v>0</v>
      </c>
      <c r="W20" s="34">
        <f t="shared" si="2"/>
        <v>0</v>
      </c>
      <c r="X20" s="30"/>
      <c r="Y20" s="10"/>
      <c r="Z20" s="33">
        <f t="shared" si="3"/>
        <v>0</v>
      </c>
      <c r="AA20" s="33">
        <f>IF(OR(Z20&lt;=0,),0,MIN(MIN(введ!$C$17,Z20),введ!$C$17))</f>
        <v>0</v>
      </c>
      <c r="AB20" s="33">
        <f>AA20*введ!C$18</f>
        <v>0</v>
      </c>
      <c r="AC20" s="33">
        <f>AA20*введ!C$22</f>
        <v>0</v>
      </c>
      <c r="AD20" s="33"/>
      <c r="AE20" s="33">
        <f t="shared" si="4"/>
        <v>0</v>
      </c>
      <c r="AF20" s="33">
        <f t="shared" si="5"/>
        <v>0</v>
      </c>
    </row>
    <row r="21" spans="1:32" x14ac:dyDescent="0.2">
      <c r="A21" s="26">
        <v>8</v>
      </c>
      <c r="B21" s="26"/>
      <c r="C21" s="28"/>
      <c r="D21" s="30"/>
      <c r="E21" s="29">
        <f>IF(C21&gt;=3,0,IF((D21-P21)&gt;введ!C$11,введ!C$11,IF((D21-P21)&lt;=введ!C$11,D21-P21,0)))</f>
        <v>0</v>
      </c>
      <c r="F21" s="29">
        <f t="shared" si="6"/>
        <v>0</v>
      </c>
      <c r="G21" s="30"/>
      <c r="H21" s="30"/>
      <c r="I21" s="30"/>
      <c r="J21" s="33">
        <f t="shared" si="7"/>
        <v>0</v>
      </c>
      <c r="K21" s="11">
        <f>IF(C21=0,0,IF(C21&gt;1,0,IF(D21&lt;=введ!C$20*25,J21/100,J21/10)))</f>
        <v>0</v>
      </c>
      <c r="L21" s="11">
        <f>IF(C21=0,0,IF(C21=1,0,IF(C21&gt;=3,J21/10,IF(C21=2,IF(D21&lt;=введ!C$20*25,J21/100,J21/10)))))</f>
        <v>0</v>
      </c>
      <c r="M21" s="30"/>
      <c r="N21" s="33">
        <f t="shared" si="0"/>
        <v>0</v>
      </c>
      <c r="O21" s="30"/>
      <c r="P21" s="33">
        <f t="shared" si="8"/>
        <v>0</v>
      </c>
      <c r="Q21" s="30"/>
      <c r="R21" s="33">
        <f t="shared" si="1"/>
        <v>0</v>
      </c>
      <c r="S21" s="33">
        <f>IF(OR(R21&lt;=0,),0,MIN(MAX(введ!$C$11,R21),введ!$C$14))</f>
        <v>0</v>
      </c>
      <c r="T21" s="33">
        <f>ROUND(S21*введ!C$15,0)</f>
        <v>0</v>
      </c>
      <c r="U21" s="30"/>
      <c r="V21" s="33">
        <f t="shared" si="9"/>
        <v>0</v>
      </c>
      <c r="W21" s="34">
        <f t="shared" si="2"/>
        <v>0</v>
      </c>
      <c r="X21" s="30"/>
      <c r="Y21" s="10"/>
      <c r="Z21" s="33">
        <f t="shared" si="3"/>
        <v>0</v>
      </c>
      <c r="AA21" s="33">
        <f>IF(OR(Z21&lt;=0,),0,MIN(MIN(введ!$C$17,Z21),введ!$C$17))</f>
        <v>0</v>
      </c>
      <c r="AB21" s="33">
        <f>AA21*введ!C$18</f>
        <v>0</v>
      </c>
      <c r="AC21" s="33">
        <f>AA21*введ!C$22</f>
        <v>0</v>
      </c>
      <c r="AD21" s="33"/>
      <c r="AE21" s="33">
        <f t="shared" si="4"/>
        <v>0</v>
      </c>
      <c r="AF21" s="33">
        <f t="shared" si="5"/>
        <v>0</v>
      </c>
    </row>
    <row r="22" spans="1:32" x14ac:dyDescent="0.2">
      <c r="A22" s="26">
        <v>9</v>
      </c>
      <c r="B22" s="26"/>
      <c r="C22" s="28"/>
      <c r="D22" s="30"/>
      <c r="E22" s="29">
        <f>IF(C22&gt;=3,0,IF((D22-P22)&gt;введ!C$11,введ!C$11,IF((D22-P22)&lt;=введ!C$11,D22-P22,0)))</f>
        <v>0</v>
      </c>
      <c r="F22" s="29">
        <f t="shared" si="6"/>
        <v>0</v>
      </c>
      <c r="G22" s="30"/>
      <c r="H22" s="30"/>
      <c r="I22" s="30"/>
      <c r="J22" s="33">
        <f t="shared" si="7"/>
        <v>0</v>
      </c>
      <c r="K22" s="11">
        <f>IF(C22=0,0,IF(C22&gt;1,0,IF(D22&lt;=введ!C$20*25,J22/100,J22/10)))</f>
        <v>0</v>
      </c>
      <c r="L22" s="11">
        <f>IF(C22=0,0,IF(C22=1,0,IF(C22&gt;=3,J22/10,IF(C22=2,IF(D22&lt;=введ!C$20*25,J22/100,J22/10)))))</f>
        <v>0</v>
      </c>
      <c r="M22" s="30"/>
      <c r="N22" s="33">
        <f t="shared" si="0"/>
        <v>0</v>
      </c>
      <c r="O22" s="30"/>
      <c r="P22" s="33">
        <f t="shared" si="8"/>
        <v>0</v>
      </c>
      <c r="Q22" s="30"/>
      <c r="R22" s="33">
        <f t="shared" si="1"/>
        <v>0</v>
      </c>
      <c r="S22" s="33">
        <f>IF(OR(R22&lt;=0,),0,MIN(MAX(введ!$C$11,R22),введ!$C$14))</f>
        <v>0</v>
      </c>
      <c r="T22" s="33">
        <f>ROUND(S22*введ!C$15,0)</f>
        <v>0</v>
      </c>
      <c r="U22" s="30"/>
      <c r="V22" s="33">
        <f t="shared" si="9"/>
        <v>0</v>
      </c>
      <c r="W22" s="34">
        <f t="shared" si="2"/>
        <v>0</v>
      </c>
      <c r="X22" s="30"/>
      <c r="Y22" s="10"/>
      <c r="Z22" s="33">
        <f t="shared" si="3"/>
        <v>0</v>
      </c>
      <c r="AA22" s="33">
        <f>IF(OR(Z22&lt;=0,),0,MIN(MIN(введ!$C$17,Z22),введ!$C$17))</f>
        <v>0</v>
      </c>
      <c r="AB22" s="33">
        <f>AA22*введ!C$18</f>
        <v>0</v>
      </c>
      <c r="AC22" s="33">
        <f>AA22*введ!C$22</f>
        <v>0</v>
      </c>
      <c r="AD22" s="33"/>
      <c r="AE22" s="33">
        <f t="shared" si="4"/>
        <v>0</v>
      </c>
      <c r="AF22" s="33">
        <f t="shared" si="5"/>
        <v>0</v>
      </c>
    </row>
    <row r="23" spans="1:32" x14ac:dyDescent="0.2">
      <c r="A23" s="26">
        <v>10</v>
      </c>
      <c r="B23" s="26"/>
      <c r="C23" s="28"/>
      <c r="D23" s="30"/>
      <c r="E23" s="29">
        <f>IF(C23&gt;=3,0,IF((D23-P23)&gt;введ!C$11,введ!C$11,IF((D23-P23)&lt;=введ!C$11,D23-P23,0)))</f>
        <v>0</v>
      </c>
      <c r="F23" s="29">
        <f t="shared" si="6"/>
        <v>0</v>
      </c>
      <c r="G23" s="30"/>
      <c r="H23" s="30"/>
      <c r="I23" s="30"/>
      <c r="J23" s="33">
        <f t="shared" si="7"/>
        <v>0</v>
      </c>
      <c r="K23" s="11">
        <f>IF(C23=0,0,IF(C23&gt;1,0,IF(D23&lt;=введ!C$20*25,J23/100,J23/10)))</f>
        <v>0</v>
      </c>
      <c r="L23" s="11">
        <f>IF(C23=0,0,IF(C23=1,0,IF(C23&gt;=3,J23/10,IF(C23=2,IF(D23&lt;=введ!C$20*25,J23/100,J23/10)))))</f>
        <v>0</v>
      </c>
      <c r="M23" s="30"/>
      <c r="N23" s="33">
        <f t="shared" si="0"/>
        <v>0</v>
      </c>
      <c r="O23" s="30"/>
      <c r="P23" s="33">
        <f t="shared" si="8"/>
        <v>0</v>
      </c>
      <c r="Q23" s="30"/>
      <c r="R23" s="33">
        <f t="shared" si="1"/>
        <v>0</v>
      </c>
      <c r="S23" s="33">
        <f>IF(OR(R23&lt;=0,),0,MIN(MAX(введ!$C$11,R23),введ!$C$14))</f>
        <v>0</v>
      </c>
      <c r="T23" s="33">
        <f>ROUND(S23*введ!C$15,0)</f>
        <v>0</v>
      </c>
      <c r="U23" s="30"/>
      <c r="V23" s="33">
        <f t="shared" si="9"/>
        <v>0</v>
      </c>
      <c r="W23" s="34">
        <f t="shared" si="2"/>
        <v>0</v>
      </c>
      <c r="X23" s="30"/>
      <c r="Y23" s="10"/>
      <c r="Z23" s="33">
        <f t="shared" si="3"/>
        <v>0</v>
      </c>
      <c r="AA23" s="33">
        <f>IF(OR(Z23&lt;=0,),0,MIN(MIN(введ!$C$17,Z23),введ!$C$17))</f>
        <v>0</v>
      </c>
      <c r="AB23" s="33">
        <f>AA23*введ!C$18</f>
        <v>0</v>
      </c>
      <c r="AC23" s="33">
        <f>AA23*введ!C$22</f>
        <v>0</v>
      </c>
      <c r="AD23" s="33"/>
      <c r="AE23" s="33">
        <f t="shared" si="4"/>
        <v>0</v>
      </c>
      <c r="AF23" s="33">
        <f t="shared" si="5"/>
        <v>0</v>
      </c>
    </row>
    <row r="24" spans="1:32" x14ac:dyDescent="0.2">
      <c r="A24" s="26">
        <v>11</v>
      </c>
      <c r="B24" s="26"/>
      <c r="C24" s="28"/>
      <c r="D24" s="30"/>
      <c r="E24" s="29">
        <f>IF(C24&gt;=3,0,IF((D24-P24)&gt;введ!C$11,введ!C$11,IF((D24-P24)&lt;=введ!C$11,D24-P24,0)))</f>
        <v>0</v>
      </c>
      <c r="F24" s="29">
        <f t="shared" si="6"/>
        <v>0</v>
      </c>
      <c r="G24" s="30"/>
      <c r="H24" s="30"/>
      <c r="I24" s="30"/>
      <c r="J24" s="33">
        <f t="shared" si="7"/>
        <v>0</v>
      </c>
      <c r="K24" s="11">
        <f>IF(C24=0,0,IF(C24&gt;1,0,IF(D24&lt;=введ!C$20*25,J24/100,J24/10)))</f>
        <v>0</v>
      </c>
      <c r="L24" s="11">
        <f>IF(C24=0,0,IF(C24=1,0,IF(C24&gt;=3,J24/10,IF(C24=2,IF(D24&lt;=введ!C$20*25,J24/100,J24/10)))))</f>
        <v>0</v>
      </c>
      <c r="M24" s="30"/>
      <c r="N24" s="33">
        <f t="shared" si="0"/>
        <v>0</v>
      </c>
      <c r="O24" s="30"/>
      <c r="P24" s="33">
        <f t="shared" si="8"/>
        <v>0</v>
      </c>
      <c r="Q24" s="30"/>
      <c r="R24" s="33">
        <f t="shared" si="1"/>
        <v>0</v>
      </c>
      <c r="S24" s="33">
        <f>IF(OR(R24&lt;=0,),0,MIN(MAX(введ!$C$11,R24),введ!$C$14))</f>
        <v>0</v>
      </c>
      <c r="T24" s="33">
        <f>ROUND(S24*введ!C$15,0)</f>
        <v>0</v>
      </c>
      <c r="U24" s="30"/>
      <c r="V24" s="33">
        <f t="shared" si="9"/>
        <v>0</v>
      </c>
      <c r="W24" s="34">
        <f t="shared" si="2"/>
        <v>0</v>
      </c>
      <c r="X24" s="30"/>
      <c r="Y24" s="10"/>
      <c r="Z24" s="33">
        <f t="shared" si="3"/>
        <v>0</v>
      </c>
      <c r="AA24" s="33">
        <f>IF(OR(Z24&lt;=0,),0,MIN(MIN(введ!$C$17,Z24),введ!$C$17))</f>
        <v>0</v>
      </c>
      <c r="AB24" s="33">
        <f>AA24*введ!C$18</f>
        <v>0</v>
      </c>
      <c r="AC24" s="33">
        <f>AA24*введ!C$22</f>
        <v>0</v>
      </c>
      <c r="AD24" s="33"/>
      <c r="AE24" s="33">
        <f t="shared" si="4"/>
        <v>0</v>
      </c>
      <c r="AF24" s="33">
        <f t="shared" si="5"/>
        <v>0</v>
      </c>
    </row>
    <row r="25" spans="1:32" x14ac:dyDescent="0.2">
      <c r="A25" s="26">
        <v>12</v>
      </c>
      <c r="B25" s="26"/>
      <c r="C25" s="28"/>
      <c r="D25" s="30"/>
      <c r="E25" s="29">
        <f>IF(C25&gt;=3,0,IF((D25-P25)&gt;введ!C$11,введ!C$11,IF((D25-P25)&lt;=введ!C$11,D25-P25,0)))</f>
        <v>0</v>
      </c>
      <c r="F25" s="29">
        <f t="shared" si="6"/>
        <v>0</v>
      </c>
      <c r="G25" s="30"/>
      <c r="H25" s="30"/>
      <c r="I25" s="30"/>
      <c r="J25" s="33">
        <f t="shared" si="7"/>
        <v>0</v>
      </c>
      <c r="K25" s="11">
        <f>IF(C25=0,0,IF(C25&gt;1,0,IF(D25&lt;=введ!C$20*25,J25/100,J25/10)))</f>
        <v>0</v>
      </c>
      <c r="L25" s="11">
        <f>IF(C25=0,0,IF(C25=1,0,IF(C25&gt;=3,J25/10,IF(C25=2,IF(D25&lt;=введ!C$20*25,J25/100,J25/10)))))</f>
        <v>0</v>
      </c>
      <c r="M25" s="30"/>
      <c r="N25" s="33">
        <f t="shared" si="0"/>
        <v>0</v>
      </c>
      <c r="O25" s="30"/>
      <c r="P25" s="33">
        <f t="shared" si="8"/>
        <v>0</v>
      </c>
      <c r="Q25" s="30"/>
      <c r="R25" s="33">
        <f t="shared" si="1"/>
        <v>0</v>
      </c>
      <c r="S25" s="33">
        <f>IF(OR(R25&lt;=0,),0,MIN(MAX(введ!$C$11,R25),введ!$C$14))</f>
        <v>0</v>
      </c>
      <c r="T25" s="33">
        <f>ROUND(S25*введ!C$15,0)</f>
        <v>0</v>
      </c>
      <c r="U25" s="30"/>
      <c r="V25" s="33">
        <f t="shared" si="9"/>
        <v>0</v>
      </c>
      <c r="W25" s="34">
        <f t="shared" si="2"/>
        <v>0</v>
      </c>
      <c r="X25" s="30"/>
      <c r="Y25" s="10"/>
      <c r="Z25" s="33">
        <f t="shared" si="3"/>
        <v>0</v>
      </c>
      <c r="AA25" s="33">
        <f>IF(OR(Z25&lt;=0,),0,MIN(MIN(введ!$C$17,Z25),введ!$C$17))</f>
        <v>0</v>
      </c>
      <c r="AB25" s="33">
        <f>AA25*введ!C$18</f>
        <v>0</v>
      </c>
      <c r="AC25" s="33">
        <f>AA25*введ!C$22</f>
        <v>0</v>
      </c>
      <c r="AD25" s="33"/>
      <c r="AE25" s="33">
        <f t="shared" si="4"/>
        <v>0</v>
      </c>
      <c r="AF25" s="33">
        <f t="shared" si="5"/>
        <v>0</v>
      </c>
    </row>
    <row r="26" spans="1:32" x14ac:dyDescent="0.2">
      <c r="A26" s="402" t="s">
        <v>72</v>
      </c>
      <c r="B26" s="403"/>
      <c r="C26" s="15"/>
      <c r="D26" s="33">
        <f>SUM(D14:D25)</f>
        <v>600000</v>
      </c>
      <c r="E26" s="33">
        <f t="shared" ref="E26:V26" si="10">SUM(E14:E25)</f>
        <v>85000</v>
      </c>
      <c r="F26" s="33">
        <f t="shared" si="10"/>
        <v>8000</v>
      </c>
      <c r="G26" s="33">
        <f>SUM(G14:G25)</f>
        <v>0</v>
      </c>
      <c r="H26" s="33">
        <f>SUM(H14:H25)</f>
        <v>0</v>
      </c>
      <c r="I26" s="33">
        <f>SUM(I14:I25)</f>
        <v>0</v>
      </c>
      <c r="J26" s="33">
        <f>SUM(J14:J25)</f>
        <v>467000</v>
      </c>
      <c r="K26" s="33">
        <f t="shared" si="10"/>
        <v>11590</v>
      </c>
      <c r="L26" s="33">
        <f t="shared" si="10"/>
        <v>35110</v>
      </c>
      <c r="M26" s="33">
        <f t="shared" si="10"/>
        <v>0</v>
      </c>
      <c r="N26" s="33">
        <f t="shared" si="10"/>
        <v>400000</v>
      </c>
      <c r="O26" s="33">
        <f>SUM(O14:O25)</f>
        <v>0</v>
      </c>
      <c r="P26" s="33">
        <f>SUM(P14:P25)</f>
        <v>40000</v>
      </c>
      <c r="Q26" s="33">
        <f t="shared" si="10"/>
        <v>0</v>
      </c>
      <c r="R26" s="33">
        <f t="shared" si="10"/>
        <v>360000</v>
      </c>
      <c r="S26" s="33">
        <f t="shared" si="10"/>
        <v>360000</v>
      </c>
      <c r="T26" s="33">
        <f>SUM(T14:T25)</f>
        <v>12600</v>
      </c>
      <c r="U26" s="33">
        <f t="shared" si="10"/>
        <v>0</v>
      </c>
      <c r="V26" s="33">
        <f t="shared" si="10"/>
        <v>0</v>
      </c>
      <c r="W26" s="34">
        <f t="shared" ref="W26:AC26" si="11">SUM(W14:W25)</f>
        <v>3</v>
      </c>
      <c r="X26" s="33">
        <f t="shared" si="11"/>
        <v>0</v>
      </c>
      <c r="Y26" s="33">
        <f t="shared" si="11"/>
        <v>0</v>
      </c>
      <c r="Z26" s="33">
        <f t="shared" si="11"/>
        <v>400000</v>
      </c>
      <c r="AA26" s="33">
        <f t="shared" si="11"/>
        <v>400000</v>
      </c>
      <c r="AB26" s="33">
        <f t="shared" si="11"/>
        <v>8000</v>
      </c>
      <c r="AC26" s="33">
        <f t="shared" si="11"/>
        <v>8000</v>
      </c>
      <c r="AD26" s="165">
        <f>IF(D26&gt;0,D26/W26,0)</f>
        <v>200000</v>
      </c>
      <c r="AE26" s="33">
        <f t="shared" ref="AE26:AF26" si="12">SUM(AE14:AE25)</f>
        <v>180000</v>
      </c>
      <c r="AF26" s="33">
        <f t="shared" si="12"/>
        <v>420000</v>
      </c>
    </row>
    <row r="27" spans="1:32" x14ac:dyDescent="0.2">
      <c r="A27" s="22"/>
      <c r="B27" s="22"/>
      <c r="C27" s="22"/>
      <c r="D27" s="22"/>
    </row>
    <row r="28" spans="1:32" x14ac:dyDescent="0.2">
      <c r="A28" s="36" t="s">
        <v>62</v>
      </c>
    </row>
    <row r="30" spans="1:32" x14ac:dyDescent="0.2">
      <c r="A30" s="22"/>
      <c r="B30" s="22"/>
      <c r="C30" s="22"/>
      <c r="D30" s="22"/>
    </row>
    <row r="31" spans="1:32" x14ac:dyDescent="0.2">
      <c r="A31" s="36" t="s">
        <v>63</v>
      </c>
    </row>
    <row r="33" spans="1:4" x14ac:dyDescent="0.2">
      <c r="A33" s="22"/>
      <c r="B33" s="22"/>
      <c r="C33" s="22"/>
      <c r="D33" s="22"/>
    </row>
    <row r="34" spans="1:4" x14ac:dyDescent="0.2">
      <c r="A34" s="36" t="s">
        <v>73</v>
      </c>
    </row>
    <row r="36" spans="1:4" x14ac:dyDescent="0.2">
      <c r="A36" s="22"/>
      <c r="B36" s="22"/>
      <c r="C36" s="22"/>
    </row>
    <row r="37" spans="1:4" x14ac:dyDescent="0.2">
      <c r="A37" s="36" t="s">
        <v>64</v>
      </c>
    </row>
    <row r="38" spans="1:4" x14ac:dyDescent="0.2">
      <c r="A38" s="25"/>
      <c r="B38" s="25"/>
      <c r="C38" s="25"/>
      <c r="D38" s="25"/>
    </row>
  </sheetData>
  <mergeCells count="2">
    <mergeCell ref="A10:H10"/>
    <mergeCell ref="A26:B26"/>
  </mergeCells>
  <pageMargins left="0.75" right="0.75" top="1" bottom="1" header="0.5" footer="0.5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0"/>
  <dimension ref="A2:AN39"/>
  <sheetViews>
    <sheetView topLeftCell="A13" workbookViewId="0">
      <pane xSplit="2" ySplit="2" topLeftCell="C15" activePane="bottomRight" state="frozen"/>
      <selection activeCell="A13" sqref="A13"/>
      <selection pane="topRight" activeCell="C13" sqref="C13"/>
      <selection pane="bottomLeft" activeCell="A15" sqref="A15"/>
      <selection pane="bottomRight" activeCell="C16" sqref="C16"/>
    </sheetView>
  </sheetViews>
  <sheetFormatPr defaultColWidth="8.7109375" defaultRowHeight="12.75" x14ac:dyDescent="0.2"/>
  <cols>
    <col min="1" max="1" width="5.85546875" style="16" customWidth="1"/>
    <col min="2" max="2" width="33.85546875" style="16" customWidth="1"/>
    <col min="3" max="3" width="16.85546875" style="16" customWidth="1"/>
    <col min="4" max="4" width="9.28515625" style="16" customWidth="1"/>
    <col min="5" max="5" width="16" style="16" customWidth="1"/>
    <col min="6" max="9" width="12" style="16" customWidth="1"/>
    <col min="10" max="10" width="12.140625" style="16" customWidth="1"/>
    <col min="11" max="11" width="12.85546875" style="16" customWidth="1"/>
    <col min="12" max="12" width="18.85546875" style="16" customWidth="1"/>
    <col min="13" max="13" width="17.28515625" style="16" customWidth="1"/>
    <col min="14" max="14" width="11.85546875" style="16" customWidth="1"/>
    <col min="15" max="26" width="13.5703125" style="16" customWidth="1"/>
    <col min="27" max="40" width="13.85546875" style="16" customWidth="1"/>
    <col min="41" max="16384" width="8.7109375" style="16"/>
  </cols>
  <sheetData>
    <row r="2" spans="1:40" x14ac:dyDescent="0.2">
      <c r="E2" s="17" t="s">
        <v>14</v>
      </c>
      <c r="M2" s="18"/>
      <c r="N2" s="18"/>
    </row>
    <row r="3" spans="1:40" x14ac:dyDescent="0.2">
      <c r="A3" s="20"/>
      <c r="B3" s="20"/>
      <c r="C3" s="20"/>
      <c r="D3" s="20"/>
      <c r="E3" s="20"/>
    </row>
    <row r="4" spans="1:40" x14ac:dyDescent="0.2">
      <c r="A4" s="21" t="s">
        <v>67</v>
      </c>
      <c r="B4" s="22"/>
      <c r="C4" s="21"/>
      <c r="D4" s="21"/>
      <c r="E4" s="21"/>
    </row>
    <row r="6" spans="1:40" x14ac:dyDescent="0.2">
      <c r="A6" s="16">
        <v>1</v>
      </c>
      <c r="B6" s="21" t="s">
        <v>68</v>
      </c>
      <c r="C6" s="21"/>
      <c r="D6" s="21"/>
      <c r="E6" s="21"/>
    </row>
    <row r="7" spans="1:40" x14ac:dyDescent="0.2">
      <c r="A7" s="16">
        <v>2</v>
      </c>
      <c r="B7" s="23" t="s">
        <v>15</v>
      </c>
      <c r="C7" s="23"/>
      <c r="D7" s="23"/>
      <c r="E7" s="24">
        <f>'910.00'!D8</f>
        <v>111111111111</v>
      </c>
    </row>
    <row r="8" spans="1:40" x14ac:dyDescent="0.2">
      <c r="A8" s="16">
        <v>3</v>
      </c>
      <c r="B8" s="21" t="s">
        <v>131</v>
      </c>
      <c r="C8" s="21"/>
      <c r="D8" s="21"/>
      <c r="E8" s="21"/>
      <c r="F8" s="16">
        <f>'910.00'!L12</f>
        <v>1</v>
      </c>
      <c r="J8" s="16">
        <f>'910.00'!O12</f>
        <v>2021</v>
      </c>
      <c r="K8" s="16" t="s">
        <v>132</v>
      </c>
    </row>
    <row r="9" spans="1:40" x14ac:dyDescent="0.2">
      <c r="A9" s="25"/>
      <c r="B9" s="25"/>
      <c r="C9" s="25"/>
      <c r="D9" s="25"/>
      <c r="E9" s="25"/>
      <c r="F9" s="25"/>
      <c r="G9" s="25"/>
      <c r="H9" s="25"/>
      <c r="I9" s="25"/>
    </row>
    <row r="10" spans="1:40" ht="43.5" customHeight="1" x14ac:dyDescent="0.2">
      <c r="A10" s="401" t="s">
        <v>168</v>
      </c>
      <c r="B10" s="401"/>
      <c r="C10" s="401"/>
      <c r="D10" s="401"/>
      <c r="E10" s="401"/>
      <c r="F10" s="401"/>
      <c r="G10" s="401"/>
      <c r="H10" s="401"/>
      <c r="I10" s="401"/>
      <c r="J10" s="401"/>
    </row>
    <row r="11" spans="1:40" x14ac:dyDescent="0.2">
      <c r="A11" s="25"/>
      <c r="B11" s="25"/>
      <c r="C11" s="25"/>
      <c r="D11" s="25"/>
      <c r="E11" s="25"/>
    </row>
    <row r="12" spans="1:40" x14ac:dyDescent="0.2">
      <c r="A12" s="25"/>
      <c r="B12" s="25"/>
      <c r="C12" s="25"/>
      <c r="D12" s="25"/>
      <c r="E12" s="25"/>
    </row>
    <row r="13" spans="1:40" ht="140.25" x14ac:dyDescent="0.2">
      <c r="A13" s="13" t="s">
        <v>69</v>
      </c>
      <c r="B13" s="13" t="s">
        <v>133</v>
      </c>
      <c r="C13" s="13" t="s">
        <v>376</v>
      </c>
      <c r="D13" s="13" t="s">
        <v>135</v>
      </c>
      <c r="E13" s="13" t="s">
        <v>169</v>
      </c>
      <c r="F13" s="13" t="s">
        <v>259</v>
      </c>
      <c r="G13" s="13" t="s">
        <v>222</v>
      </c>
      <c r="H13" s="13" t="s">
        <v>223</v>
      </c>
      <c r="I13" s="13" t="s">
        <v>260</v>
      </c>
      <c r="J13" s="13" t="s">
        <v>74</v>
      </c>
      <c r="K13" s="13" t="s">
        <v>161</v>
      </c>
      <c r="L13" s="13" t="s">
        <v>129</v>
      </c>
      <c r="M13" s="13" t="s">
        <v>130</v>
      </c>
      <c r="N13" s="13" t="s">
        <v>134</v>
      </c>
      <c r="O13" s="13" t="s">
        <v>129</v>
      </c>
      <c r="P13" s="13" t="s">
        <v>130</v>
      </c>
      <c r="Q13" s="13" t="s">
        <v>129</v>
      </c>
      <c r="R13" s="13" t="s">
        <v>130</v>
      </c>
      <c r="S13" s="13" t="s">
        <v>129</v>
      </c>
      <c r="T13" s="13" t="s">
        <v>130</v>
      </c>
      <c r="U13" s="13" t="s">
        <v>129</v>
      </c>
      <c r="V13" s="13" t="s">
        <v>130</v>
      </c>
      <c r="W13" s="13" t="s">
        <v>129</v>
      </c>
      <c r="X13" s="13" t="s">
        <v>130</v>
      </c>
      <c r="Y13" s="13" t="s">
        <v>129</v>
      </c>
      <c r="Z13" s="13" t="s">
        <v>172</v>
      </c>
      <c r="AA13" s="13" t="s">
        <v>254</v>
      </c>
      <c r="AB13" s="13" t="s">
        <v>255</v>
      </c>
      <c r="AC13" s="13" t="s">
        <v>254</v>
      </c>
      <c r="AD13" s="13" t="s">
        <v>255</v>
      </c>
      <c r="AE13" s="13" t="s">
        <v>254</v>
      </c>
      <c r="AF13" s="13" t="s">
        <v>255</v>
      </c>
      <c r="AG13" s="13" t="s">
        <v>254</v>
      </c>
      <c r="AH13" s="13" t="s">
        <v>255</v>
      </c>
      <c r="AI13" s="13" t="s">
        <v>254</v>
      </c>
      <c r="AJ13" s="13" t="s">
        <v>255</v>
      </c>
      <c r="AK13" s="13" t="s">
        <v>254</v>
      </c>
      <c r="AL13" s="13" t="s">
        <v>255</v>
      </c>
      <c r="AM13" s="13" t="s">
        <v>254</v>
      </c>
      <c r="AN13" s="13" t="s">
        <v>255</v>
      </c>
    </row>
    <row r="14" spans="1:40" x14ac:dyDescent="0.2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404" t="str">
        <f>IF('910.00'!L12=1,"январь","июль")</f>
        <v>январь</v>
      </c>
      <c r="P14" s="404"/>
      <c r="Q14" s="404" t="str">
        <f>IF('910.00'!L12=1,"февраль","август")</f>
        <v>февраль</v>
      </c>
      <c r="R14" s="404"/>
      <c r="S14" s="404" t="str">
        <f>IF('910.00'!L12=1,"март","сентябрь")</f>
        <v>март</v>
      </c>
      <c r="T14" s="404"/>
      <c r="U14" s="404" t="str">
        <f>IF('910.00'!L12=1,"апрель","октябрь")</f>
        <v>апрель</v>
      </c>
      <c r="V14" s="404"/>
      <c r="W14" s="404" t="str">
        <f>IF('910.00'!L12=1,"май","ноябрь")</f>
        <v>май</v>
      </c>
      <c r="X14" s="404"/>
      <c r="Y14" s="404" t="str">
        <f>IF('910.00'!L12=1,"июнь","декабрь")</f>
        <v>июнь</v>
      </c>
      <c r="Z14" s="404"/>
      <c r="AA14" s="404" t="str">
        <f>IF('910.00'!L12=1,"январь","июль")</f>
        <v>январь</v>
      </c>
      <c r="AB14" s="404"/>
      <c r="AC14" s="404" t="str">
        <f>IF('910.00'!L12=1,"февраль","август")</f>
        <v>февраль</v>
      </c>
      <c r="AD14" s="404"/>
      <c r="AE14" s="404" t="str">
        <f>IF('910.00'!L12=1,"март","сентябрь")</f>
        <v>март</v>
      </c>
      <c r="AF14" s="404"/>
      <c r="AG14" s="404" t="str">
        <f>IF('910.00'!L12=1,"апрель","октябрь")</f>
        <v>апрель</v>
      </c>
      <c r="AH14" s="404"/>
      <c r="AI14" s="404" t="str">
        <f>IF('910.00'!L12=1,"май","ноябрь")</f>
        <v>май</v>
      </c>
      <c r="AJ14" s="404"/>
      <c r="AK14" s="404" t="str">
        <f>IF('910.00'!L12=1,"июнь","декабрь")</f>
        <v>июнь</v>
      </c>
      <c r="AL14" s="404"/>
      <c r="AM14" s="404" t="s">
        <v>292</v>
      </c>
      <c r="AN14" s="404"/>
    </row>
    <row r="15" spans="1:40" x14ac:dyDescent="0.2">
      <c r="A15" s="26">
        <v>1</v>
      </c>
      <c r="B15" s="26" t="s">
        <v>370</v>
      </c>
      <c r="C15" s="28">
        <v>1</v>
      </c>
      <c r="D15" s="28">
        <v>4</v>
      </c>
      <c r="E15" s="30">
        <v>160000</v>
      </c>
      <c r="F15" s="30"/>
      <c r="G15" s="29">
        <f>'4гпх'!K3+'4гпх'!M3+'4гпх'!O3+'4гпх'!Q3+'4гпх'!S3+'4гпх'!U3</f>
        <v>16000</v>
      </c>
      <c r="H15" s="29">
        <f>'4гпх'!L3+'4гпх'!N3+'4гпх'!P3+'4гпх'!R3+'4гпх'!T3+'4гпх'!V3</f>
        <v>3200</v>
      </c>
      <c r="I15" s="30"/>
      <c r="J15" s="33">
        <f>E15-F15-G15-H15-I15</f>
        <v>140800</v>
      </c>
      <c r="K15" s="121">
        <f>IF(E15&lt;=0,0,IF(C15&gt;=3,20%,10%))</f>
        <v>0.1</v>
      </c>
      <c r="L15" s="33">
        <f>IF(C15=1,J15*K15,0)</f>
        <v>14080</v>
      </c>
      <c r="M15" s="33">
        <f>IF(C15&gt;=3,E15*K15,IF(C15=2,J15*K15,0))</f>
        <v>0</v>
      </c>
      <c r="N15" s="34">
        <f t="shared" ref="N15:N26" si="0">IF(D15&gt;6,D15-6,D15)</f>
        <v>4</v>
      </c>
      <c r="O15" s="33">
        <f>IF($N15=1,$L15,0)</f>
        <v>0</v>
      </c>
      <c r="P15" s="33">
        <f>IF($N15=1,$M15,0)</f>
        <v>0</v>
      </c>
      <c r="Q15" s="33">
        <f>IF($N15=2,$L15,0)</f>
        <v>0</v>
      </c>
      <c r="R15" s="33">
        <f>IF($N15=2,$M15,0)</f>
        <v>0</v>
      </c>
      <c r="S15" s="33">
        <f>IF($N15=3,$L15,0)</f>
        <v>0</v>
      </c>
      <c r="T15" s="33">
        <f>IF($N15=3,$M15,0)</f>
        <v>0</v>
      </c>
      <c r="U15" s="33">
        <f>IF($N15=4,$L15,0)</f>
        <v>14080</v>
      </c>
      <c r="V15" s="33">
        <f>IF($N15=4,$M15,0)</f>
        <v>0</v>
      </c>
      <c r="W15" s="33">
        <f>IF($N15=5,$L15,0)</f>
        <v>0</v>
      </c>
      <c r="X15" s="33">
        <f>IF($N15=5,$M15,0)</f>
        <v>0</v>
      </c>
      <c r="Y15" s="33">
        <f>IF($N15=6,$L15,0)</f>
        <v>0</v>
      </c>
      <c r="Z15" s="33">
        <f>IF($N15=6,$M15,0)</f>
        <v>0</v>
      </c>
      <c r="AA15" s="33">
        <f>IF(C15=1,IF(D15=1,E15,0),0)</f>
        <v>0</v>
      </c>
      <c r="AB15" s="33">
        <f>IF(C15&gt;1,IF(D15=1,E15,0),0)</f>
        <v>0</v>
      </c>
      <c r="AC15" s="33">
        <f>IF(C15=1,IF(D15=2,E15,0),0)</f>
        <v>0</v>
      </c>
      <c r="AD15" s="33">
        <f>IF(C15&gt;1,IF(D15=2,E15,0),0)</f>
        <v>0</v>
      </c>
      <c r="AE15" s="33">
        <f>IF(C15=1,IF(D15=3,E15,0),0)</f>
        <v>0</v>
      </c>
      <c r="AF15" s="33">
        <f>IF(C15&gt;1,IF(D15=3,E15,0),0)</f>
        <v>0</v>
      </c>
      <c r="AG15" s="33">
        <f>IF(C15=1,IF(D15=4,E15,0),0)</f>
        <v>160000</v>
      </c>
      <c r="AH15" s="33">
        <f>IF(C15&gt;1,IF(D15=4,E15,0),0)</f>
        <v>0</v>
      </c>
      <c r="AI15" s="33">
        <f>IF(C15=1,IF(D15=5,E15,0),0)</f>
        <v>0</v>
      </c>
      <c r="AJ15" s="33">
        <f>IF(C15&gt;1,IF(D15=5,E15,0),0)</f>
        <v>0</v>
      </c>
      <c r="AK15" s="33">
        <f>IF(C15=1,IF(D15=6,E15,0),0)</f>
        <v>0</v>
      </c>
      <c r="AL15" s="33">
        <f>IF(C15&gt;1,IF(D15=6,E15,0),0)</f>
        <v>0</v>
      </c>
      <c r="AM15" s="33">
        <f>AA15+AC15+AE15+AG15+AI15+AK15</f>
        <v>160000</v>
      </c>
      <c r="AN15" s="33">
        <f>AB15+AD15+AF15+AH15+AJ15+AL15</f>
        <v>0</v>
      </c>
    </row>
    <row r="16" spans="1:40" x14ac:dyDescent="0.2">
      <c r="A16" s="26">
        <v>2</v>
      </c>
      <c r="B16" s="26"/>
      <c r="C16" s="28"/>
      <c r="D16" s="28"/>
      <c r="E16" s="30"/>
      <c r="F16" s="30"/>
      <c r="G16" s="29">
        <f>'4гпх'!K4+'4гпх'!M4+'4гпх'!O4+'4гпх'!Q4+'4гпх'!S4+'4гпх'!U4</f>
        <v>0</v>
      </c>
      <c r="H16" s="29">
        <f>'4гпх'!L4+'4гпх'!N4+'4гпх'!P4+'4гпх'!R4+'4гпх'!T4+'4гпх'!V4</f>
        <v>0</v>
      </c>
      <c r="I16" s="30"/>
      <c r="J16" s="33">
        <f t="shared" ref="J16:J26" si="1">E16-F16-G16-H16-I16</f>
        <v>0</v>
      </c>
      <c r="K16" s="121">
        <f t="shared" ref="K16:K26" si="2">IF(E16&lt;=0,0,IF(C16&gt;=3,20%,10%))</f>
        <v>0</v>
      </c>
      <c r="L16" s="33">
        <f t="shared" ref="L16:L26" si="3">IF(C16=1,J16*K16,0)</f>
        <v>0</v>
      </c>
      <c r="M16" s="33">
        <f t="shared" ref="M16:M26" si="4">IF(C16&gt;=3,E16*K16,IF(C16=2,J16*K16,0))</f>
        <v>0</v>
      </c>
      <c r="N16" s="34">
        <f t="shared" si="0"/>
        <v>0</v>
      </c>
      <c r="O16" s="33">
        <f t="shared" ref="O16:O26" si="5">IF($N16=1,$L16,0)</f>
        <v>0</v>
      </c>
      <c r="P16" s="33">
        <f t="shared" ref="P16:P26" si="6">IF($N16=1,$M16,0)</f>
        <v>0</v>
      </c>
      <c r="Q16" s="33">
        <f t="shared" ref="Q16:Q26" si="7">IF($N16=2,$L16,0)</f>
        <v>0</v>
      </c>
      <c r="R16" s="33">
        <f t="shared" ref="R16:R26" si="8">IF($N16=2,$M16,0)</f>
        <v>0</v>
      </c>
      <c r="S16" s="33">
        <f t="shared" ref="S16:S26" si="9">IF($N16=3,$L16,0)</f>
        <v>0</v>
      </c>
      <c r="T16" s="33">
        <f t="shared" ref="T16:T26" si="10">IF($N16=3,$M16,0)</f>
        <v>0</v>
      </c>
      <c r="U16" s="33">
        <f t="shared" ref="U16:U26" si="11">IF($N16=4,$L16,0)</f>
        <v>0</v>
      </c>
      <c r="V16" s="33">
        <f t="shared" ref="V16:V26" si="12">IF($N16=4,$M16,0)</f>
        <v>0</v>
      </c>
      <c r="W16" s="33">
        <f t="shared" ref="W16:W26" si="13">IF($N16=5,$L16,0)</f>
        <v>0</v>
      </c>
      <c r="X16" s="33">
        <f t="shared" ref="X16:X26" si="14">IF($N16=5,$M16,0)</f>
        <v>0</v>
      </c>
      <c r="Y16" s="33">
        <f t="shared" ref="Y16:Y26" si="15">IF($N16=6,$L16,0)</f>
        <v>0</v>
      </c>
      <c r="Z16" s="33">
        <f t="shared" ref="Z16:Z26" si="16">IF($N16=6,$M16,0)</f>
        <v>0</v>
      </c>
      <c r="AA16" s="33">
        <f t="shared" ref="AA16:AA26" si="17">IF(C16=1,IF(D16=1,E16,0),0)</f>
        <v>0</v>
      </c>
      <c r="AB16" s="33">
        <f t="shared" ref="AB16:AB26" si="18">IF(C16&gt;1,IF(D16=1,E16,0),0)</f>
        <v>0</v>
      </c>
      <c r="AC16" s="33">
        <f t="shared" ref="AC16:AC26" si="19">IF(C16=1,IF(D16=2,E16,0),0)</f>
        <v>0</v>
      </c>
      <c r="AD16" s="33">
        <f t="shared" ref="AD16:AD26" si="20">IF(C16&gt;1,IF(D16=2,E16,0),0)</f>
        <v>0</v>
      </c>
      <c r="AE16" s="33">
        <f t="shared" ref="AE16:AE25" si="21">IF(C16=1,IF(D16=3,E16,0),0)</f>
        <v>0</v>
      </c>
      <c r="AF16" s="33">
        <f t="shared" ref="AF16:AF25" si="22">IF(C16&gt;1,IF(D16=3,E16,0),0)</f>
        <v>0</v>
      </c>
      <c r="AG16" s="33">
        <f t="shared" ref="AG16:AG26" si="23">IF(C16=1,IF(D16=4,E16,0),0)</f>
        <v>0</v>
      </c>
      <c r="AH16" s="33">
        <f t="shared" ref="AH16:AH26" si="24">IF(C16&gt;1,IF(D16=4,E16,0),0)</f>
        <v>0</v>
      </c>
      <c r="AI16" s="33">
        <f t="shared" ref="AI16:AI26" si="25">IF(C16=1,IF(D16=5,E16,0),0)</f>
        <v>0</v>
      </c>
      <c r="AJ16" s="33">
        <f t="shared" ref="AJ16:AJ26" si="26">IF(C16&gt;1,IF(D16=5,E16,0),0)</f>
        <v>0</v>
      </c>
      <c r="AK16" s="33">
        <f t="shared" ref="AK16:AK26" si="27">IF(C16=1,IF(D16=6,E16,0),0)</f>
        <v>0</v>
      </c>
      <c r="AL16" s="33">
        <f t="shared" ref="AL16:AL26" si="28">IF(C16&gt;1,IF(D16=6,E16,0),0)</f>
        <v>0</v>
      </c>
      <c r="AM16" s="33">
        <f t="shared" ref="AM16:AM26" si="29">AA16+AC16+AE16+AG16+AI16+AK16</f>
        <v>0</v>
      </c>
      <c r="AN16" s="33">
        <f t="shared" ref="AN16:AN26" si="30">AB16+AD16+AF16+AH16+AJ16+AL16</f>
        <v>0</v>
      </c>
    </row>
    <row r="17" spans="1:40" x14ac:dyDescent="0.2">
      <c r="A17" s="26">
        <v>3</v>
      </c>
      <c r="B17" s="26"/>
      <c r="C17" s="28"/>
      <c r="D17" s="28"/>
      <c r="E17" s="30"/>
      <c r="F17" s="30"/>
      <c r="G17" s="29">
        <f>'4гпх'!K5+'4гпх'!M5+'4гпх'!O5+'4гпх'!Q5+'4гпх'!S5+'4гпх'!U5</f>
        <v>0</v>
      </c>
      <c r="H17" s="29">
        <f>'4гпх'!L5+'4гпх'!N5+'4гпх'!P5+'4гпх'!R5+'4гпх'!T5+'4гпх'!V5</f>
        <v>0</v>
      </c>
      <c r="I17" s="30"/>
      <c r="J17" s="33">
        <f t="shared" si="1"/>
        <v>0</v>
      </c>
      <c r="K17" s="121">
        <f t="shared" si="2"/>
        <v>0</v>
      </c>
      <c r="L17" s="33">
        <f t="shared" si="3"/>
        <v>0</v>
      </c>
      <c r="M17" s="33">
        <f t="shared" si="4"/>
        <v>0</v>
      </c>
      <c r="N17" s="34">
        <f t="shared" si="0"/>
        <v>0</v>
      </c>
      <c r="O17" s="33">
        <f t="shared" si="5"/>
        <v>0</v>
      </c>
      <c r="P17" s="33">
        <f t="shared" si="6"/>
        <v>0</v>
      </c>
      <c r="Q17" s="33">
        <f t="shared" si="7"/>
        <v>0</v>
      </c>
      <c r="R17" s="33">
        <f t="shared" si="8"/>
        <v>0</v>
      </c>
      <c r="S17" s="33">
        <f t="shared" si="9"/>
        <v>0</v>
      </c>
      <c r="T17" s="33">
        <f t="shared" si="10"/>
        <v>0</v>
      </c>
      <c r="U17" s="33">
        <f t="shared" si="11"/>
        <v>0</v>
      </c>
      <c r="V17" s="33">
        <f t="shared" si="12"/>
        <v>0</v>
      </c>
      <c r="W17" s="33">
        <f t="shared" si="13"/>
        <v>0</v>
      </c>
      <c r="X17" s="33">
        <f t="shared" si="14"/>
        <v>0</v>
      </c>
      <c r="Y17" s="33">
        <f t="shared" si="15"/>
        <v>0</v>
      </c>
      <c r="Z17" s="33">
        <f t="shared" si="16"/>
        <v>0</v>
      </c>
      <c r="AA17" s="33">
        <f t="shared" si="17"/>
        <v>0</v>
      </c>
      <c r="AB17" s="33">
        <f t="shared" si="18"/>
        <v>0</v>
      </c>
      <c r="AC17" s="33">
        <f t="shared" si="19"/>
        <v>0</v>
      </c>
      <c r="AD17" s="33">
        <f t="shared" si="20"/>
        <v>0</v>
      </c>
      <c r="AE17" s="33">
        <f t="shared" si="21"/>
        <v>0</v>
      </c>
      <c r="AF17" s="33">
        <f t="shared" si="22"/>
        <v>0</v>
      </c>
      <c r="AG17" s="33">
        <f t="shared" si="23"/>
        <v>0</v>
      </c>
      <c r="AH17" s="33">
        <f t="shared" si="24"/>
        <v>0</v>
      </c>
      <c r="AI17" s="33">
        <f t="shared" si="25"/>
        <v>0</v>
      </c>
      <c r="AJ17" s="33">
        <f t="shared" si="26"/>
        <v>0</v>
      </c>
      <c r="AK17" s="33">
        <f t="shared" si="27"/>
        <v>0</v>
      </c>
      <c r="AL17" s="33">
        <f t="shared" si="28"/>
        <v>0</v>
      </c>
      <c r="AM17" s="33">
        <f t="shared" si="29"/>
        <v>0</v>
      </c>
      <c r="AN17" s="33">
        <f t="shared" si="30"/>
        <v>0</v>
      </c>
    </row>
    <row r="18" spans="1:40" x14ac:dyDescent="0.2">
      <c r="A18" s="26">
        <v>4</v>
      </c>
      <c r="B18" s="26"/>
      <c r="C18" s="28"/>
      <c r="D18" s="28"/>
      <c r="E18" s="30"/>
      <c r="F18" s="30"/>
      <c r="G18" s="29">
        <f>'4гпх'!K6+'4гпх'!M6+'4гпх'!O6+'4гпх'!Q6+'4гпх'!S6+'4гпх'!U6</f>
        <v>0</v>
      </c>
      <c r="H18" s="29">
        <f>'4гпх'!L6+'4гпх'!N6+'4гпх'!P6+'4гпх'!R6+'4гпх'!T6+'4гпх'!V6</f>
        <v>0</v>
      </c>
      <c r="I18" s="30"/>
      <c r="J18" s="33">
        <f t="shared" si="1"/>
        <v>0</v>
      </c>
      <c r="K18" s="121">
        <f t="shared" si="2"/>
        <v>0</v>
      </c>
      <c r="L18" s="33">
        <f t="shared" si="3"/>
        <v>0</v>
      </c>
      <c r="M18" s="33">
        <f t="shared" si="4"/>
        <v>0</v>
      </c>
      <c r="N18" s="34">
        <f t="shared" si="0"/>
        <v>0</v>
      </c>
      <c r="O18" s="33">
        <f t="shared" si="5"/>
        <v>0</v>
      </c>
      <c r="P18" s="33">
        <f t="shared" si="6"/>
        <v>0</v>
      </c>
      <c r="Q18" s="33">
        <f t="shared" si="7"/>
        <v>0</v>
      </c>
      <c r="R18" s="33">
        <f t="shared" si="8"/>
        <v>0</v>
      </c>
      <c r="S18" s="33">
        <f t="shared" si="9"/>
        <v>0</v>
      </c>
      <c r="T18" s="33">
        <f t="shared" si="10"/>
        <v>0</v>
      </c>
      <c r="U18" s="33">
        <f t="shared" si="11"/>
        <v>0</v>
      </c>
      <c r="V18" s="33">
        <f t="shared" si="12"/>
        <v>0</v>
      </c>
      <c r="W18" s="33">
        <f t="shared" si="13"/>
        <v>0</v>
      </c>
      <c r="X18" s="33">
        <f t="shared" si="14"/>
        <v>0</v>
      </c>
      <c r="Y18" s="33">
        <f t="shared" si="15"/>
        <v>0</v>
      </c>
      <c r="Z18" s="33">
        <f t="shared" si="16"/>
        <v>0</v>
      </c>
      <c r="AA18" s="33">
        <f t="shared" si="17"/>
        <v>0</v>
      </c>
      <c r="AB18" s="33">
        <f t="shared" si="18"/>
        <v>0</v>
      </c>
      <c r="AC18" s="33">
        <f t="shared" si="19"/>
        <v>0</v>
      </c>
      <c r="AD18" s="33">
        <f t="shared" si="20"/>
        <v>0</v>
      </c>
      <c r="AE18" s="33">
        <f t="shared" si="21"/>
        <v>0</v>
      </c>
      <c r="AF18" s="33">
        <f t="shared" si="22"/>
        <v>0</v>
      </c>
      <c r="AG18" s="33">
        <f t="shared" si="23"/>
        <v>0</v>
      </c>
      <c r="AH18" s="33">
        <f t="shared" si="24"/>
        <v>0</v>
      </c>
      <c r="AI18" s="33">
        <f t="shared" si="25"/>
        <v>0</v>
      </c>
      <c r="AJ18" s="33">
        <f t="shared" si="26"/>
        <v>0</v>
      </c>
      <c r="AK18" s="33">
        <f t="shared" si="27"/>
        <v>0</v>
      </c>
      <c r="AL18" s="33">
        <f t="shared" si="28"/>
        <v>0</v>
      </c>
      <c r="AM18" s="33">
        <f t="shared" si="29"/>
        <v>0</v>
      </c>
      <c r="AN18" s="33">
        <f t="shared" si="30"/>
        <v>0</v>
      </c>
    </row>
    <row r="19" spans="1:40" x14ac:dyDescent="0.2">
      <c r="A19" s="26">
        <v>5</v>
      </c>
      <c r="B19" s="26"/>
      <c r="C19" s="28"/>
      <c r="D19" s="28"/>
      <c r="E19" s="30"/>
      <c r="F19" s="30"/>
      <c r="G19" s="29">
        <f>'4гпх'!K7+'4гпх'!M7+'4гпх'!O7+'4гпх'!Q7+'4гпх'!S7+'4гпх'!U7</f>
        <v>0</v>
      </c>
      <c r="H19" s="29">
        <f>'4гпх'!L7+'4гпх'!N7+'4гпх'!P7+'4гпх'!R7+'4гпх'!T7+'4гпх'!V7</f>
        <v>0</v>
      </c>
      <c r="I19" s="30"/>
      <c r="J19" s="33">
        <f t="shared" si="1"/>
        <v>0</v>
      </c>
      <c r="K19" s="121">
        <f t="shared" si="2"/>
        <v>0</v>
      </c>
      <c r="L19" s="33">
        <f t="shared" si="3"/>
        <v>0</v>
      </c>
      <c r="M19" s="33">
        <f t="shared" si="4"/>
        <v>0</v>
      </c>
      <c r="N19" s="34">
        <f t="shared" si="0"/>
        <v>0</v>
      </c>
      <c r="O19" s="33">
        <f t="shared" si="5"/>
        <v>0</v>
      </c>
      <c r="P19" s="33">
        <f t="shared" si="6"/>
        <v>0</v>
      </c>
      <c r="Q19" s="33">
        <f t="shared" si="7"/>
        <v>0</v>
      </c>
      <c r="R19" s="33">
        <f t="shared" si="8"/>
        <v>0</v>
      </c>
      <c r="S19" s="33">
        <f t="shared" si="9"/>
        <v>0</v>
      </c>
      <c r="T19" s="33">
        <f t="shared" si="10"/>
        <v>0</v>
      </c>
      <c r="U19" s="33">
        <f t="shared" si="11"/>
        <v>0</v>
      </c>
      <c r="V19" s="33">
        <f t="shared" si="12"/>
        <v>0</v>
      </c>
      <c r="W19" s="33">
        <f t="shared" si="13"/>
        <v>0</v>
      </c>
      <c r="X19" s="33">
        <f t="shared" si="14"/>
        <v>0</v>
      </c>
      <c r="Y19" s="33">
        <f t="shared" si="15"/>
        <v>0</v>
      </c>
      <c r="Z19" s="33">
        <f t="shared" si="16"/>
        <v>0</v>
      </c>
      <c r="AA19" s="33">
        <f t="shared" si="17"/>
        <v>0</v>
      </c>
      <c r="AB19" s="33">
        <f t="shared" si="18"/>
        <v>0</v>
      </c>
      <c r="AC19" s="33">
        <f t="shared" si="19"/>
        <v>0</v>
      </c>
      <c r="AD19" s="33">
        <f t="shared" si="20"/>
        <v>0</v>
      </c>
      <c r="AE19" s="33">
        <f t="shared" si="21"/>
        <v>0</v>
      </c>
      <c r="AF19" s="33">
        <f t="shared" si="22"/>
        <v>0</v>
      </c>
      <c r="AG19" s="33">
        <f t="shared" si="23"/>
        <v>0</v>
      </c>
      <c r="AH19" s="33">
        <f t="shared" si="24"/>
        <v>0</v>
      </c>
      <c r="AI19" s="33">
        <f t="shared" si="25"/>
        <v>0</v>
      </c>
      <c r="AJ19" s="33">
        <f t="shared" si="26"/>
        <v>0</v>
      </c>
      <c r="AK19" s="33">
        <f t="shared" si="27"/>
        <v>0</v>
      </c>
      <c r="AL19" s="33">
        <f t="shared" si="28"/>
        <v>0</v>
      </c>
      <c r="AM19" s="33">
        <f t="shared" si="29"/>
        <v>0</v>
      </c>
      <c r="AN19" s="33">
        <f t="shared" si="30"/>
        <v>0</v>
      </c>
    </row>
    <row r="20" spans="1:40" x14ac:dyDescent="0.2">
      <c r="A20" s="26">
        <v>6</v>
      </c>
      <c r="B20" s="26"/>
      <c r="C20" s="28"/>
      <c r="D20" s="28"/>
      <c r="E20" s="30"/>
      <c r="F20" s="30"/>
      <c r="G20" s="29">
        <f>'4гпх'!K8+'4гпх'!M8+'4гпх'!O8+'4гпх'!Q8+'4гпх'!S8+'4гпх'!U8</f>
        <v>0</v>
      </c>
      <c r="H20" s="29">
        <f>'4гпх'!L8+'4гпх'!N8+'4гпх'!P8+'4гпх'!R8+'4гпх'!T8+'4гпх'!V8</f>
        <v>0</v>
      </c>
      <c r="I20" s="30"/>
      <c r="J20" s="33">
        <f t="shared" si="1"/>
        <v>0</v>
      </c>
      <c r="K20" s="121">
        <f t="shared" si="2"/>
        <v>0</v>
      </c>
      <c r="L20" s="33">
        <f t="shared" si="3"/>
        <v>0</v>
      </c>
      <c r="M20" s="33">
        <f t="shared" si="4"/>
        <v>0</v>
      </c>
      <c r="N20" s="34">
        <f t="shared" si="0"/>
        <v>0</v>
      </c>
      <c r="O20" s="33">
        <f t="shared" si="5"/>
        <v>0</v>
      </c>
      <c r="P20" s="33">
        <f t="shared" si="6"/>
        <v>0</v>
      </c>
      <c r="Q20" s="33">
        <f t="shared" si="7"/>
        <v>0</v>
      </c>
      <c r="R20" s="33">
        <f t="shared" si="8"/>
        <v>0</v>
      </c>
      <c r="S20" s="33">
        <f t="shared" si="9"/>
        <v>0</v>
      </c>
      <c r="T20" s="33">
        <f t="shared" si="10"/>
        <v>0</v>
      </c>
      <c r="U20" s="33">
        <f t="shared" si="11"/>
        <v>0</v>
      </c>
      <c r="V20" s="33">
        <f t="shared" si="12"/>
        <v>0</v>
      </c>
      <c r="W20" s="33">
        <f t="shared" si="13"/>
        <v>0</v>
      </c>
      <c r="X20" s="33">
        <f t="shared" si="14"/>
        <v>0</v>
      </c>
      <c r="Y20" s="33">
        <f t="shared" si="15"/>
        <v>0</v>
      </c>
      <c r="Z20" s="33">
        <f t="shared" si="16"/>
        <v>0</v>
      </c>
      <c r="AA20" s="33">
        <f t="shared" si="17"/>
        <v>0</v>
      </c>
      <c r="AB20" s="33">
        <f t="shared" si="18"/>
        <v>0</v>
      </c>
      <c r="AC20" s="33">
        <f t="shared" si="19"/>
        <v>0</v>
      </c>
      <c r="AD20" s="33">
        <f t="shared" si="20"/>
        <v>0</v>
      </c>
      <c r="AE20" s="33">
        <f t="shared" si="21"/>
        <v>0</v>
      </c>
      <c r="AF20" s="33">
        <f t="shared" si="22"/>
        <v>0</v>
      </c>
      <c r="AG20" s="33">
        <f t="shared" si="23"/>
        <v>0</v>
      </c>
      <c r="AH20" s="33">
        <f t="shared" si="24"/>
        <v>0</v>
      </c>
      <c r="AI20" s="33">
        <f t="shared" si="25"/>
        <v>0</v>
      </c>
      <c r="AJ20" s="33">
        <f t="shared" si="26"/>
        <v>0</v>
      </c>
      <c r="AK20" s="33">
        <f t="shared" si="27"/>
        <v>0</v>
      </c>
      <c r="AL20" s="33">
        <f t="shared" si="28"/>
        <v>0</v>
      </c>
      <c r="AM20" s="33">
        <f t="shared" si="29"/>
        <v>0</v>
      </c>
      <c r="AN20" s="33">
        <f t="shared" si="30"/>
        <v>0</v>
      </c>
    </row>
    <row r="21" spans="1:40" x14ac:dyDescent="0.2">
      <c r="A21" s="26">
        <v>7</v>
      </c>
      <c r="B21" s="26"/>
      <c r="C21" s="28"/>
      <c r="D21" s="28"/>
      <c r="E21" s="30"/>
      <c r="F21" s="30"/>
      <c r="G21" s="29">
        <f>'4гпх'!K9+'4гпх'!M9+'4гпх'!O9+'4гпх'!Q9+'4гпх'!S9+'4гпх'!U9</f>
        <v>0</v>
      </c>
      <c r="H21" s="29">
        <f>'4гпх'!L9+'4гпх'!N9+'4гпх'!P9+'4гпх'!R9+'4гпх'!T9+'4гпх'!V9</f>
        <v>0</v>
      </c>
      <c r="I21" s="30"/>
      <c r="J21" s="33">
        <f t="shared" si="1"/>
        <v>0</v>
      </c>
      <c r="K21" s="121">
        <f t="shared" si="2"/>
        <v>0</v>
      </c>
      <c r="L21" s="33">
        <f t="shared" si="3"/>
        <v>0</v>
      </c>
      <c r="M21" s="33">
        <f t="shared" si="4"/>
        <v>0</v>
      </c>
      <c r="N21" s="34">
        <f t="shared" si="0"/>
        <v>0</v>
      </c>
      <c r="O21" s="33">
        <f t="shared" si="5"/>
        <v>0</v>
      </c>
      <c r="P21" s="33">
        <f t="shared" si="6"/>
        <v>0</v>
      </c>
      <c r="Q21" s="33">
        <f t="shared" si="7"/>
        <v>0</v>
      </c>
      <c r="R21" s="33">
        <f t="shared" si="8"/>
        <v>0</v>
      </c>
      <c r="S21" s="33">
        <f t="shared" si="9"/>
        <v>0</v>
      </c>
      <c r="T21" s="33">
        <f t="shared" si="10"/>
        <v>0</v>
      </c>
      <c r="U21" s="33">
        <f t="shared" si="11"/>
        <v>0</v>
      </c>
      <c r="V21" s="33">
        <f t="shared" si="12"/>
        <v>0</v>
      </c>
      <c r="W21" s="33">
        <f t="shared" si="13"/>
        <v>0</v>
      </c>
      <c r="X21" s="33">
        <f t="shared" si="14"/>
        <v>0</v>
      </c>
      <c r="Y21" s="33">
        <f t="shared" si="15"/>
        <v>0</v>
      </c>
      <c r="Z21" s="33">
        <f t="shared" si="16"/>
        <v>0</v>
      </c>
      <c r="AA21" s="33">
        <f t="shared" si="17"/>
        <v>0</v>
      </c>
      <c r="AB21" s="33">
        <f t="shared" si="18"/>
        <v>0</v>
      </c>
      <c r="AC21" s="33">
        <f t="shared" si="19"/>
        <v>0</v>
      </c>
      <c r="AD21" s="33">
        <f t="shared" si="20"/>
        <v>0</v>
      </c>
      <c r="AE21" s="33">
        <f t="shared" si="21"/>
        <v>0</v>
      </c>
      <c r="AF21" s="33">
        <f t="shared" si="22"/>
        <v>0</v>
      </c>
      <c r="AG21" s="33">
        <f t="shared" si="23"/>
        <v>0</v>
      </c>
      <c r="AH21" s="33">
        <f t="shared" si="24"/>
        <v>0</v>
      </c>
      <c r="AI21" s="33">
        <f t="shared" si="25"/>
        <v>0</v>
      </c>
      <c r="AJ21" s="33">
        <f t="shared" si="26"/>
        <v>0</v>
      </c>
      <c r="AK21" s="33">
        <f t="shared" si="27"/>
        <v>0</v>
      </c>
      <c r="AL21" s="33">
        <f t="shared" si="28"/>
        <v>0</v>
      </c>
      <c r="AM21" s="33">
        <f t="shared" si="29"/>
        <v>0</v>
      </c>
      <c r="AN21" s="33">
        <f t="shared" si="30"/>
        <v>0</v>
      </c>
    </row>
    <row r="22" spans="1:40" x14ac:dyDescent="0.2">
      <c r="A22" s="26">
        <v>8</v>
      </c>
      <c r="B22" s="26"/>
      <c r="C22" s="28"/>
      <c r="D22" s="28"/>
      <c r="E22" s="30"/>
      <c r="F22" s="30"/>
      <c r="G22" s="29">
        <f>'4гпх'!K10+'4гпх'!M10+'4гпх'!O10+'4гпх'!Q10+'4гпх'!S10+'4гпх'!U10</f>
        <v>0</v>
      </c>
      <c r="H22" s="29">
        <f>'4гпх'!L10+'4гпх'!N10+'4гпх'!P10+'4гпх'!R10+'4гпх'!T10+'4гпх'!V10</f>
        <v>0</v>
      </c>
      <c r="I22" s="30"/>
      <c r="J22" s="33">
        <f t="shared" si="1"/>
        <v>0</v>
      </c>
      <c r="K22" s="121">
        <f t="shared" si="2"/>
        <v>0</v>
      </c>
      <c r="L22" s="33">
        <f t="shared" si="3"/>
        <v>0</v>
      </c>
      <c r="M22" s="33">
        <f t="shared" si="4"/>
        <v>0</v>
      </c>
      <c r="N22" s="34">
        <f t="shared" si="0"/>
        <v>0</v>
      </c>
      <c r="O22" s="33">
        <f t="shared" si="5"/>
        <v>0</v>
      </c>
      <c r="P22" s="33">
        <f t="shared" si="6"/>
        <v>0</v>
      </c>
      <c r="Q22" s="33">
        <f t="shared" si="7"/>
        <v>0</v>
      </c>
      <c r="R22" s="33">
        <f t="shared" si="8"/>
        <v>0</v>
      </c>
      <c r="S22" s="33">
        <f t="shared" si="9"/>
        <v>0</v>
      </c>
      <c r="T22" s="33">
        <f t="shared" si="10"/>
        <v>0</v>
      </c>
      <c r="U22" s="33">
        <f t="shared" si="11"/>
        <v>0</v>
      </c>
      <c r="V22" s="33">
        <f t="shared" si="12"/>
        <v>0</v>
      </c>
      <c r="W22" s="33">
        <f t="shared" si="13"/>
        <v>0</v>
      </c>
      <c r="X22" s="33">
        <f t="shared" si="14"/>
        <v>0</v>
      </c>
      <c r="Y22" s="33">
        <f t="shared" si="15"/>
        <v>0</v>
      </c>
      <c r="Z22" s="33">
        <f t="shared" si="16"/>
        <v>0</v>
      </c>
      <c r="AA22" s="33">
        <f t="shared" si="17"/>
        <v>0</v>
      </c>
      <c r="AB22" s="33">
        <f t="shared" si="18"/>
        <v>0</v>
      </c>
      <c r="AC22" s="33">
        <f t="shared" si="19"/>
        <v>0</v>
      </c>
      <c r="AD22" s="33">
        <f t="shared" si="20"/>
        <v>0</v>
      </c>
      <c r="AE22" s="33">
        <f t="shared" si="21"/>
        <v>0</v>
      </c>
      <c r="AF22" s="33">
        <f t="shared" si="22"/>
        <v>0</v>
      </c>
      <c r="AG22" s="33">
        <f t="shared" si="23"/>
        <v>0</v>
      </c>
      <c r="AH22" s="33">
        <f t="shared" si="24"/>
        <v>0</v>
      </c>
      <c r="AI22" s="33">
        <f t="shared" si="25"/>
        <v>0</v>
      </c>
      <c r="AJ22" s="33">
        <f t="shared" si="26"/>
        <v>0</v>
      </c>
      <c r="AK22" s="33">
        <f t="shared" si="27"/>
        <v>0</v>
      </c>
      <c r="AL22" s="33">
        <f t="shared" si="28"/>
        <v>0</v>
      </c>
      <c r="AM22" s="33">
        <f t="shared" si="29"/>
        <v>0</v>
      </c>
      <c r="AN22" s="33">
        <f t="shared" si="30"/>
        <v>0</v>
      </c>
    </row>
    <row r="23" spans="1:40" x14ac:dyDescent="0.2">
      <c r="A23" s="26">
        <v>9</v>
      </c>
      <c r="B23" s="26"/>
      <c r="C23" s="28"/>
      <c r="D23" s="28"/>
      <c r="E23" s="30"/>
      <c r="F23" s="30"/>
      <c r="G23" s="29">
        <f>'4гпх'!K11+'4гпх'!M11+'4гпх'!O11+'4гпх'!Q11+'4гпх'!S11+'4гпх'!U11</f>
        <v>0</v>
      </c>
      <c r="H23" s="29">
        <f>'4гпх'!L11+'4гпх'!N11+'4гпх'!P11+'4гпх'!R11+'4гпх'!T11+'4гпх'!V11</f>
        <v>0</v>
      </c>
      <c r="I23" s="30"/>
      <c r="J23" s="33">
        <f t="shared" si="1"/>
        <v>0</v>
      </c>
      <c r="K23" s="121">
        <f t="shared" si="2"/>
        <v>0</v>
      </c>
      <c r="L23" s="33">
        <f t="shared" si="3"/>
        <v>0</v>
      </c>
      <c r="M23" s="33">
        <f t="shared" si="4"/>
        <v>0</v>
      </c>
      <c r="N23" s="34">
        <f t="shared" si="0"/>
        <v>0</v>
      </c>
      <c r="O23" s="33">
        <f t="shared" si="5"/>
        <v>0</v>
      </c>
      <c r="P23" s="33">
        <f t="shared" si="6"/>
        <v>0</v>
      </c>
      <c r="Q23" s="33">
        <f t="shared" si="7"/>
        <v>0</v>
      </c>
      <c r="R23" s="33">
        <f t="shared" si="8"/>
        <v>0</v>
      </c>
      <c r="S23" s="33">
        <f t="shared" si="9"/>
        <v>0</v>
      </c>
      <c r="T23" s="33">
        <f t="shared" si="10"/>
        <v>0</v>
      </c>
      <c r="U23" s="33">
        <f t="shared" si="11"/>
        <v>0</v>
      </c>
      <c r="V23" s="33">
        <f t="shared" si="12"/>
        <v>0</v>
      </c>
      <c r="W23" s="33">
        <f t="shared" si="13"/>
        <v>0</v>
      </c>
      <c r="X23" s="33">
        <f t="shared" si="14"/>
        <v>0</v>
      </c>
      <c r="Y23" s="33">
        <f t="shared" si="15"/>
        <v>0</v>
      </c>
      <c r="Z23" s="33">
        <f t="shared" si="16"/>
        <v>0</v>
      </c>
      <c r="AA23" s="33">
        <f t="shared" si="17"/>
        <v>0</v>
      </c>
      <c r="AB23" s="33">
        <f t="shared" si="18"/>
        <v>0</v>
      </c>
      <c r="AC23" s="33">
        <f t="shared" si="19"/>
        <v>0</v>
      </c>
      <c r="AD23" s="33">
        <f t="shared" si="20"/>
        <v>0</v>
      </c>
      <c r="AE23" s="33">
        <f t="shared" si="21"/>
        <v>0</v>
      </c>
      <c r="AF23" s="33">
        <f t="shared" si="22"/>
        <v>0</v>
      </c>
      <c r="AG23" s="33">
        <f t="shared" si="23"/>
        <v>0</v>
      </c>
      <c r="AH23" s="33">
        <f t="shared" si="24"/>
        <v>0</v>
      </c>
      <c r="AI23" s="33">
        <f t="shared" si="25"/>
        <v>0</v>
      </c>
      <c r="AJ23" s="33">
        <f t="shared" si="26"/>
        <v>0</v>
      </c>
      <c r="AK23" s="33">
        <f t="shared" si="27"/>
        <v>0</v>
      </c>
      <c r="AL23" s="33">
        <f t="shared" si="28"/>
        <v>0</v>
      </c>
      <c r="AM23" s="33">
        <f t="shared" si="29"/>
        <v>0</v>
      </c>
      <c r="AN23" s="33">
        <f t="shared" si="30"/>
        <v>0</v>
      </c>
    </row>
    <row r="24" spans="1:40" x14ac:dyDescent="0.2">
      <c r="A24" s="26">
        <v>10</v>
      </c>
      <c r="B24" s="26"/>
      <c r="C24" s="28"/>
      <c r="D24" s="28"/>
      <c r="E24" s="30"/>
      <c r="F24" s="30"/>
      <c r="G24" s="29">
        <f>'4гпх'!K12+'4гпх'!M12+'4гпх'!O12+'4гпх'!Q12+'4гпх'!S12+'4гпх'!U12</f>
        <v>0</v>
      </c>
      <c r="H24" s="29">
        <f>'4гпх'!L12+'4гпх'!N12+'4гпх'!P12+'4гпх'!R12+'4гпх'!T12+'4гпх'!V12</f>
        <v>0</v>
      </c>
      <c r="I24" s="30"/>
      <c r="J24" s="33">
        <f t="shared" si="1"/>
        <v>0</v>
      </c>
      <c r="K24" s="121">
        <f t="shared" si="2"/>
        <v>0</v>
      </c>
      <c r="L24" s="33">
        <f t="shared" si="3"/>
        <v>0</v>
      </c>
      <c r="M24" s="33">
        <f t="shared" si="4"/>
        <v>0</v>
      </c>
      <c r="N24" s="34">
        <f t="shared" si="0"/>
        <v>0</v>
      </c>
      <c r="O24" s="33">
        <f t="shared" si="5"/>
        <v>0</v>
      </c>
      <c r="P24" s="33">
        <f t="shared" si="6"/>
        <v>0</v>
      </c>
      <c r="Q24" s="33">
        <f t="shared" si="7"/>
        <v>0</v>
      </c>
      <c r="R24" s="33">
        <f t="shared" si="8"/>
        <v>0</v>
      </c>
      <c r="S24" s="33">
        <f t="shared" si="9"/>
        <v>0</v>
      </c>
      <c r="T24" s="33">
        <f t="shared" si="10"/>
        <v>0</v>
      </c>
      <c r="U24" s="33">
        <f t="shared" si="11"/>
        <v>0</v>
      </c>
      <c r="V24" s="33">
        <f t="shared" si="12"/>
        <v>0</v>
      </c>
      <c r="W24" s="33">
        <f t="shared" si="13"/>
        <v>0</v>
      </c>
      <c r="X24" s="33">
        <f t="shared" si="14"/>
        <v>0</v>
      </c>
      <c r="Y24" s="33">
        <f t="shared" si="15"/>
        <v>0</v>
      </c>
      <c r="Z24" s="33">
        <f t="shared" si="16"/>
        <v>0</v>
      </c>
      <c r="AA24" s="33">
        <f t="shared" si="17"/>
        <v>0</v>
      </c>
      <c r="AB24" s="33">
        <f t="shared" si="18"/>
        <v>0</v>
      </c>
      <c r="AC24" s="33">
        <f t="shared" si="19"/>
        <v>0</v>
      </c>
      <c r="AD24" s="33">
        <f t="shared" si="20"/>
        <v>0</v>
      </c>
      <c r="AE24" s="33">
        <f t="shared" si="21"/>
        <v>0</v>
      </c>
      <c r="AF24" s="33">
        <f t="shared" si="22"/>
        <v>0</v>
      </c>
      <c r="AG24" s="33">
        <f t="shared" si="23"/>
        <v>0</v>
      </c>
      <c r="AH24" s="33">
        <f t="shared" si="24"/>
        <v>0</v>
      </c>
      <c r="AI24" s="33">
        <f t="shared" si="25"/>
        <v>0</v>
      </c>
      <c r="AJ24" s="33">
        <f t="shared" si="26"/>
        <v>0</v>
      </c>
      <c r="AK24" s="33">
        <f t="shared" si="27"/>
        <v>0</v>
      </c>
      <c r="AL24" s="33">
        <f t="shared" si="28"/>
        <v>0</v>
      </c>
      <c r="AM24" s="33">
        <f t="shared" si="29"/>
        <v>0</v>
      </c>
      <c r="AN24" s="33">
        <f t="shared" si="30"/>
        <v>0</v>
      </c>
    </row>
    <row r="25" spans="1:40" x14ac:dyDescent="0.2">
      <c r="A25" s="26">
        <v>11</v>
      </c>
      <c r="B25" s="26"/>
      <c r="C25" s="28"/>
      <c r="D25" s="28"/>
      <c r="E25" s="30"/>
      <c r="F25" s="30"/>
      <c r="G25" s="29">
        <f>'4гпх'!K13+'4гпх'!M13+'4гпх'!O13+'4гпх'!Q13+'4гпх'!S13+'4гпх'!U13</f>
        <v>0</v>
      </c>
      <c r="H25" s="29">
        <f>'4гпх'!L13+'4гпх'!N13+'4гпх'!P13+'4гпх'!R13+'4гпх'!T13+'4гпх'!V13</f>
        <v>0</v>
      </c>
      <c r="I25" s="30"/>
      <c r="J25" s="33">
        <f t="shared" si="1"/>
        <v>0</v>
      </c>
      <c r="K25" s="121">
        <f t="shared" si="2"/>
        <v>0</v>
      </c>
      <c r="L25" s="33">
        <f t="shared" si="3"/>
        <v>0</v>
      </c>
      <c r="M25" s="33">
        <f t="shared" si="4"/>
        <v>0</v>
      </c>
      <c r="N25" s="34">
        <f t="shared" si="0"/>
        <v>0</v>
      </c>
      <c r="O25" s="33">
        <f t="shared" si="5"/>
        <v>0</v>
      </c>
      <c r="P25" s="33">
        <f t="shared" si="6"/>
        <v>0</v>
      </c>
      <c r="Q25" s="33">
        <f t="shared" si="7"/>
        <v>0</v>
      </c>
      <c r="R25" s="33">
        <f t="shared" si="8"/>
        <v>0</v>
      </c>
      <c r="S25" s="33">
        <f t="shared" si="9"/>
        <v>0</v>
      </c>
      <c r="T25" s="33">
        <f t="shared" si="10"/>
        <v>0</v>
      </c>
      <c r="U25" s="33">
        <f t="shared" si="11"/>
        <v>0</v>
      </c>
      <c r="V25" s="33">
        <f t="shared" si="12"/>
        <v>0</v>
      </c>
      <c r="W25" s="33">
        <f t="shared" si="13"/>
        <v>0</v>
      </c>
      <c r="X25" s="33">
        <f t="shared" si="14"/>
        <v>0</v>
      </c>
      <c r="Y25" s="33">
        <f t="shared" si="15"/>
        <v>0</v>
      </c>
      <c r="Z25" s="33">
        <f t="shared" si="16"/>
        <v>0</v>
      </c>
      <c r="AA25" s="33">
        <f t="shared" si="17"/>
        <v>0</v>
      </c>
      <c r="AB25" s="33">
        <f t="shared" si="18"/>
        <v>0</v>
      </c>
      <c r="AC25" s="33">
        <f t="shared" si="19"/>
        <v>0</v>
      </c>
      <c r="AD25" s="33">
        <f t="shared" si="20"/>
        <v>0</v>
      </c>
      <c r="AE25" s="33">
        <f t="shared" si="21"/>
        <v>0</v>
      </c>
      <c r="AF25" s="33">
        <f t="shared" si="22"/>
        <v>0</v>
      </c>
      <c r="AG25" s="33">
        <f t="shared" si="23"/>
        <v>0</v>
      </c>
      <c r="AH25" s="33">
        <f t="shared" si="24"/>
        <v>0</v>
      </c>
      <c r="AI25" s="33">
        <f t="shared" si="25"/>
        <v>0</v>
      </c>
      <c r="AJ25" s="33">
        <f t="shared" si="26"/>
        <v>0</v>
      </c>
      <c r="AK25" s="33">
        <f t="shared" si="27"/>
        <v>0</v>
      </c>
      <c r="AL25" s="33">
        <f t="shared" si="28"/>
        <v>0</v>
      </c>
      <c r="AM25" s="33">
        <f t="shared" si="29"/>
        <v>0</v>
      </c>
      <c r="AN25" s="33">
        <f t="shared" si="30"/>
        <v>0</v>
      </c>
    </row>
    <row r="26" spans="1:40" x14ac:dyDescent="0.2">
      <c r="A26" s="26">
        <v>12</v>
      </c>
      <c r="B26" s="26"/>
      <c r="C26" s="28"/>
      <c r="D26" s="28"/>
      <c r="E26" s="30"/>
      <c r="F26" s="30"/>
      <c r="G26" s="29">
        <f>'4гпх'!K14+'4гпх'!M14+'4гпх'!O14+'4гпх'!Q14+'4гпх'!S14+'4гпх'!U14</f>
        <v>0</v>
      </c>
      <c r="H26" s="29">
        <f>'4гпх'!L14+'4гпх'!N14+'4гпх'!P14+'4гпх'!R14+'4гпх'!T14+'4гпх'!V14</f>
        <v>0</v>
      </c>
      <c r="I26" s="30"/>
      <c r="J26" s="33">
        <f t="shared" si="1"/>
        <v>0</v>
      </c>
      <c r="K26" s="121">
        <f t="shared" si="2"/>
        <v>0</v>
      </c>
      <c r="L26" s="33">
        <f t="shared" si="3"/>
        <v>0</v>
      </c>
      <c r="M26" s="33">
        <f t="shared" si="4"/>
        <v>0</v>
      </c>
      <c r="N26" s="34">
        <f t="shared" si="0"/>
        <v>0</v>
      </c>
      <c r="O26" s="33">
        <f t="shared" si="5"/>
        <v>0</v>
      </c>
      <c r="P26" s="33">
        <f t="shared" si="6"/>
        <v>0</v>
      </c>
      <c r="Q26" s="33">
        <f t="shared" si="7"/>
        <v>0</v>
      </c>
      <c r="R26" s="33">
        <f t="shared" si="8"/>
        <v>0</v>
      </c>
      <c r="S26" s="33">
        <f t="shared" si="9"/>
        <v>0</v>
      </c>
      <c r="T26" s="33">
        <f t="shared" si="10"/>
        <v>0</v>
      </c>
      <c r="U26" s="33">
        <f t="shared" si="11"/>
        <v>0</v>
      </c>
      <c r="V26" s="33">
        <f t="shared" si="12"/>
        <v>0</v>
      </c>
      <c r="W26" s="33">
        <f t="shared" si="13"/>
        <v>0</v>
      </c>
      <c r="X26" s="33">
        <f t="shared" si="14"/>
        <v>0</v>
      </c>
      <c r="Y26" s="33">
        <f t="shared" si="15"/>
        <v>0</v>
      </c>
      <c r="Z26" s="33">
        <f t="shared" si="16"/>
        <v>0</v>
      </c>
      <c r="AA26" s="33">
        <f t="shared" si="17"/>
        <v>0</v>
      </c>
      <c r="AB26" s="33">
        <f t="shared" si="18"/>
        <v>0</v>
      </c>
      <c r="AC26" s="33">
        <f t="shared" si="19"/>
        <v>0</v>
      </c>
      <c r="AD26" s="33">
        <f t="shared" si="20"/>
        <v>0</v>
      </c>
      <c r="AE26" s="33">
        <f>IF(C26=1,IF(D26=3,E26,0),0)</f>
        <v>0</v>
      </c>
      <c r="AF26" s="33">
        <f>IF(C26&gt;1,IF(D26=3,E26,0),0)</f>
        <v>0</v>
      </c>
      <c r="AG26" s="33">
        <f t="shared" si="23"/>
        <v>0</v>
      </c>
      <c r="AH26" s="33">
        <f t="shared" si="24"/>
        <v>0</v>
      </c>
      <c r="AI26" s="33">
        <f t="shared" si="25"/>
        <v>0</v>
      </c>
      <c r="AJ26" s="33">
        <f t="shared" si="26"/>
        <v>0</v>
      </c>
      <c r="AK26" s="33">
        <f t="shared" si="27"/>
        <v>0</v>
      </c>
      <c r="AL26" s="33">
        <f t="shared" si="28"/>
        <v>0</v>
      </c>
      <c r="AM26" s="33">
        <f t="shared" si="29"/>
        <v>0</v>
      </c>
      <c r="AN26" s="33">
        <f t="shared" si="30"/>
        <v>0</v>
      </c>
    </row>
    <row r="27" spans="1:40" s="122" customFormat="1" x14ac:dyDescent="0.2">
      <c r="A27" s="402" t="s">
        <v>72</v>
      </c>
      <c r="B27" s="403"/>
      <c r="C27" s="15"/>
      <c r="D27" s="15"/>
      <c r="E27" s="120">
        <f>SUM(E15:E26)</f>
        <v>160000</v>
      </c>
      <c r="F27" s="120">
        <f>SUM(F15:F26)</f>
        <v>0</v>
      </c>
      <c r="G27" s="120">
        <f t="shared" ref="G27:I27" si="31">SUM(G15:G26)</f>
        <v>16000</v>
      </c>
      <c r="H27" s="120">
        <f t="shared" si="31"/>
        <v>3200</v>
      </c>
      <c r="I27" s="120">
        <f t="shared" si="31"/>
        <v>0</v>
      </c>
      <c r="J27" s="120">
        <f>SUM(J15:J26)</f>
        <v>140800</v>
      </c>
      <c r="K27" s="113"/>
      <c r="L27" s="120">
        <f>SUM(L15:L26)</f>
        <v>14080</v>
      </c>
      <c r="M27" s="120">
        <f>SUM(M15:M26)</f>
        <v>0</v>
      </c>
      <c r="N27" s="113"/>
      <c r="O27" s="120">
        <f t="shared" ref="O27:Z27" si="32">SUM(O15:O26)</f>
        <v>0</v>
      </c>
      <c r="P27" s="120">
        <f t="shared" si="32"/>
        <v>0</v>
      </c>
      <c r="Q27" s="120">
        <f t="shared" si="32"/>
        <v>0</v>
      </c>
      <c r="R27" s="120">
        <f t="shared" si="32"/>
        <v>0</v>
      </c>
      <c r="S27" s="120">
        <f t="shared" si="32"/>
        <v>0</v>
      </c>
      <c r="T27" s="120">
        <f t="shared" si="32"/>
        <v>0</v>
      </c>
      <c r="U27" s="120">
        <f t="shared" si="32"/>
        <v>14080</v>
      </c>
      <c r="V27" s="120">
        <f t="shared" si="32"/>
        <v>0</v>
      </c>
      <c r="W27" s="120">
        <f t="shared" si="32"/>
        <v>0</v>
      </c>
      <c r="X27" s="120">
        <f t="shared" si="32"/>
        <v>0</v>
      </c>
      <c r="Y27" s="120">
        <f t="shared" si="32"/>
        <v>0</v>
      </c>
      <c r="Z27" s="120">
        <f t="shared" si="32"/>
        <v>0</v>
      </c>
      <c r="AA27" s="33">
        <f>SUM(AA15:AA26)</f>
        <v>0</v>
      </c>
      <c r="AB27" s="33">
        <f t="shared" ref="AB27" si="33">SUM(AB15:AB26)</f>
        <v>0</v>
      </c>
      <c r="AC27" s="33">
        <f>SUM(AC15:AC26)</f>
        <v>0</v>
      </c>
      <c r="AD27" s="33">
        <f t="shared" ref="AD27" si="34">SUM(AD15:AD26)</f>
        <v>0</v>
      </c>
      <c r="AE27" s="33">
        <f>SUM(AE15:AE26)</f>
        <v>0</v>
      </c>
      <c r="AF27" s="33">
        <f t="shared" ref="AF27" si="35">SUM(AF15:AF26)</f>
        <v>0</v>
      </c>
      <c r="AG27" s="33">
        <f>SUM(AG15:AG26)</f>
        <v>160000</v>
      </c>
      <c r="AH27" s="33">
        <f t="shared" ref="AH27" si="36">SUM(AH15:AH26)</f>
        <v>0</v>
      </c>
      <c r="AI27" s="33">
        <f>SUM(AI15:AI26)</f>
        <v>0</v>
      </c>
      <c r="AJ27" s="33">
        <f t="shared" ref="AJ27" si="37">SUM(AJ15:AJ26)</f>
        <v>0</v>
      </c>
      <c r="AK27" s="33">
        <f>SUM(AK15:AK26)</f>
        <v>0</v>
      </c>
      <c r="AL27" s="33">
        <f t="shared" ref="AL27:AN27" si="38">SUM(AL15:AL26)</f>
        <v>0</v>
      </c>
      <c r="AM27" s="33">
        <f>SUM(AM15:AM26)</f>
        <v>160000</v>
      </c>
      <c r="AN27" s="33">
        <f t="shared" si="38"/>
        <v>0</v>
      </c>
    </row>
    <row r="28" spans="1:40" x14ac:dyDescent="0.2">
      <c r="A28" s="22"/>
      <c r="B28" s="22"/>
      <c r="C28" s="22"/>
      <c r="D28" s="22"/>
      <c r="E28" s="22"/>
    </row>
    <row r="29" spans="1:40" x14ac:dyDescent="0.2">
      <c r="A29" s="36" t="s">
        <v>62</v>
      </c>
    </row>
    <row r="31" spans="1:40" x14ac:dyDescent="0.2">
      <c r="A31" s="22"/>
      <c r="B31" s="22"/>
      <c r="C31" s="22"/>
      <c r="D31" s="22"/>
      <c r="E31" s="22"/>
    </row>
    <row r="32" spans="1:40" x14ac:dyDescent="0.2">
      <c r="A32" s="36" t="s">
        <v>63</v>
      </c>
    </row>
    <row r="34" spans="1:5" x14ac:dyDescent="0.2">
      <c r="A34" s="22"/>
      <c r="B34" s="22"/>
      <c r="C34" s="22"/>
      <c r="D34" s="22"/>
      <c r="E34" s="22"/>
    </row>
    <row r="35" spans="1:5" x14ac:dyDescent="0.2">
      <c r="A35" s="36" t="s">
        <v>73</v>
      </c>
    </row>
    <row r="37" spans="1:5" x14ac:dyDescent="0.2">
      <c r="A37" s="22"/>
      <c r="B37" s="22"/>
      <c r="C37" s="22"/>
      <c r="D37" s="25"/>
    </row>
    <row r="38" spans="1:5" x14ac:dyDescent="0.2">
      <c r="A38" s="36" t="s">
        <v>64</v>
      </c>
    </row>
    <row r="39" spans="1:5" x14ac:dyDescent="0.2">
      <c r="A39" s="25"/>
      <c r="B39" s="25"/>
      <c r="C39" s="25"/>
      <c r="D39" s="25"/>
      <c r="E39" s="25"/>
    </row>
  </sheetData>
  <mergeCells count="15">
    <mergeCell ref="AM14:AN14"/>
    <mergeCell ref="Y14:Z14"/>
    <mergeCell ref="A27:B27"/>
    <mergeCell ref="A10:J10"/>
    <mergeCell ref="O14:P14"/>
    <mergeCell ref="Q14:R14"/>
    <mergeCell ref="S14:T14"/>
    <mergeCell ref="U14:V14"/>
    <mergeCell ref="W14:X14"/>
    <mergeCell ref="AK14:AL14"/>
    <mergeCell ref="AA14:AB14"/>
    <mergeCell ref="AC14:AD14"/>
    <mergeCell ref="AE14:AF14"/>
    <mergeCell ref="AG14:AH14"/>
    <mergeCell ref="AI14:AJ14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1"/>
  <dimension ref="A1:V16"/>
  <sheetViews>
    <sheetView workbookViewId="0">
      <pane xSplit="3" ySplit="2" topLeftCell="D3" activePane="bottomRight" state="frozen"/>
      <selection pane="topRight" activeCell="D1" sqref="D1"/>
      <selection pane="bottomLeft" activeCell="A3" sqref="A3"/>
      <selection pane="bottomRight" activeCell="F3" sqref="F3"/>
    </sheetView>
  </sheetViews>
  <sheetFormatPr defaultColWidth="8.85546875" defaultRowHeight="12.75" x14ac:dyDescent="0.2"/>
  <cols>
    <col min="1" max="3" width="8.85546875" style="16"/>
    <col min="4" max="4" width="13.5703125" style="16" customWidth="1"/>
    <col min="5" max="5" width="9" style="16" bestFit="1" customWidth="1"/>
    <col min="6" max="6" width="13.28515625" style="16" customWidth="1"/>
    <col min="7" max="8" width="8.85546875" style="16"/>
    <col min="9" max="9" width="12.140625" style="16" bestFit="1" customWidth="1"/>
    <col min="10" max="10" width="9.28515625" style="16" customWidth="1"/>
    <col min="11" max="14" width="9" style="16" bestFit="1" customWidth="1"/>
    <col min="15" max="15" width="11" style="16" bestFit="1" customWidth="1"/>
    <col min="16" max="16" width="9.42578125" style="16" bestFit="1" customWidth="1"/>
    <col min="17" max="17" width="12.5703125" style="16" customWidth="1"/>
    <col min="18" max="20" width="9" style="16" bestFit="1" customWidth="1"/>
    <col min="21" max="16384" width="8.85546875" style="16"/>
  </cols>
  <sheetData>
    <row r="1" spans="1:22" ht="127.5" x14ac:dyDescent="0.2">
      <c r="A1" s="13" t="s">
        <v>69</v>
      </c>
      <c r="B1" s="13" t="s">
        <v>133</v>
      </c>
      <c r="C1" s="13" t="s">
        <v>135</v>
      </c>
      <c r="D1" s="13" t="s">
        <v>174</v>
      </c>
      <c r="E1" s="13" t="s">
        <v>75</v>
      </c>
      <c r="F1" s="13" t="s">
        <v>173</v>
      </c>
      <c r="G1" s="13" t="s">
        <v>326</v>
      </c>
      <c r="H1" s="13" t="s">
        <v>265</v>
      </c>
      <c r="I1" s="13" t="s">
        <v>266</v>
      </c>
      <c r="J1" s="13" t="s">
        <v>134</v>
      </c>
      <c r="K1" s="13" t="s">
        <v>175</v>
      </c>
      <c r="L1" s="13" t="s">
        <v>197</v>
      </c>
      <c r="M1" s="13" t="s">
        <v>175</v>
      </c>
      <c r="N1" s="13" t="s">
        <v>197</v>
      </c>
      <c r="O1" s="13" t="s">
        <v>175</v>
      </c>
      <c r="P1" s="13" t="s">
        <v>197</v>
      </c>
      <c r="Q1" s="13" t="s">
        <v>175</v>
      </c>
      <c r="R1" s="13" t="s">
        <v>197</v>
      </c>
      <c r="S1" s="13" t="s">
        <v>175</v>
      </c>
      <c r="T1" s="13" t="s">
        <v>197</v>
      </c>
      <c r="U1" s="13" t="s">
        <v>175</v>
      </c>
      <c r="V1" s="13" t="s">
        <v>197</v>
      </c>
    </row>
    <row r="2" spans="1:22" x14ac:dyDescent="0.2">
      <c r="A2" s="1"/>
      <c r="B2" s="1"/>
      <c r="C2" s="1"/>
      <c r="D2" s="1"/>
      <c r="E2" s="1"/>
      <c r="F2" s="1"/>
      <c r="G2" s="1"/>
      <c r="H2" s="1"/>
      <c r="I2" s="1"/>
      <c r="J2" s="1"/>
      <c r="K2" s="125" t="str">
        <f>IF('910.00'!L12=1,"январь","июль")</f>
        <v>январь</v>
      </c>
      <c r="L2" s="125" t="str">
        <f>K2</f>
        <v>январь</v>
      </c>
      <c r="M2" s="125" t="str">
        <f>IF('910.00'!L12=1,"февраль","август")</f>
        <v>февраль</v>
      </c>
      <c r="N2" s="125" t="str">
        <f>M2</f>
        <v>февраль</v>
      </c>
      <c r="O2" s="125" t="str">
        <f>IF('910.00'!L12=1,"март","сентябрь")</f>
        <v>март</v>
      </c>
      <c r="P2" s="125" t="str">
        <f>O2</f>
        <v>март</v>
      </c>
      <c r="Q2" s="125" t="str">
        <f>IF('910.00'!L12=1,"апрель","октябрь")</f>
        <v>апрель</v>
      </c>
      <c r="R2" s="125" t="str">
        <f>Q2</f>
        <v>апрель</v>
      </c>
      <c r="S2" s="125" t="str">
        <f>IF('910.00'!L12=1,"май","ноябрь")</f>
        <v>май</v>
      </c>
      <c r="T2" s="125" t="str">
        <f>S2</f>
        <v>май</v>
      </c>
      <c r="U2" s="125" t="str">
        <f>IF('910.00'!L12=1,"июнь","декабрь")</f>
        <v>июнь</v>
      </c>
      <c r="V2" s="125" t="str">
        <f>U2</f>
        <v>июнь</v>
      </c>
    </row>
    <row r="3" spans="1:22" x14ac:dyDescent="0.2">
      <c r="A3" s="64">
        <v>1</v>
      </c>
      <c r="B3" s="64" t="str">
        <f>'3гпх'!B15</f>
        <v>ахметов</v>
      </c>
      <c r="C3" s="123">
        <f>'3гпх'!D15</f>
        <v>4</v>
      </c>
      <c r="D3" s="29">
        <f>'3гпх'!E15</f>
        <v>160000</v>
      </c>
      <c r="E3" s="30"/>
      <c r="F3" s="33">
        <f>IF('3гпх'!C15=3,0,IF((D3-E3)&gt;введ!C$12,введ!C$12,(D3-E3)))</f>
        <v>160000</v>
      </c>
      <c r="G3" s="121">
        <f>IF(D3&lt;=0,0,10%)</f>
        <v>0.1</v>
      </c>
      <c r="H3" s="30"/>
      <c r="I3" s="33">
        <f>IF('3гпх'!C15=3,0,IF((D3-H3)&gt;введ!C$21,введ!C$21,(D3-H3)))</f>
        <v>160000</v>
      </c>
      <c r="J3" s="34">
        <f t="shared" ref="J3:J14" si="0">IF(C3&gt;6,C3-6,C3)</f>
        <v>4</v>
      </c>
      <c r="K3" s="29">
        <f t="shared" ref="K3:K14" si="1">IF($J3=1,F3*G3,0)</f>
        <v>0</v>
      </c>
      <c r="L3" s="29">
        <f>IF($C3=1,I3*введ!C$22,0)</f>
        <v>0</v>
      </c>
      <c r="M3" s="29">
        <f t="shared" ref="M3:M14" si="2">IF($J3=2,F3*G3,0)</f>
        <v>0</v>
      </c>
      <c r="N3" s="29">
        <f>IF($C3=2,I3*введ!C$22,0)</f>
        <v>0</v>
      </c>
      <c r="O3" s="29">
        <f t="shared" ref="O3:O14" si="3">IF($J3=3,F3*G3,0)</f>
        <v>0</v>
      </c>
      <c r="P3" s="29">
        <f>IF($C3=3,I3*введ!C$22,0)</f>
        <v>0</v>
      </c>
      <c r="Q3" s="29">
        <f t="shared" ref="Q3:Q14" si="4">IF($J3=4,F3*G3,0)</f>
        <v>16000</v>
      </c>
      <c r="R3" s="29">
        <f>IF($C3=4,I3*введ!C$22,0)</f>
        <v>3200</v>
      </c>
      <c r="S3" s="29">
        <f t="shared" ref="S3:S14" si="5">IF($J3=5,F3*G3,0)</f>
        <v>0</v>
      </c>
      <c r="T3" s="29">
        <f>IF($C3=5,I3*введ!C$22,0)</f>
        <v>0</v>
      </c>
      <c r="U3" s="29">
        <f t="shared" ref="U3:U14" si="6">IF($J3=6,F3*G3,0)</f>
        <v>0</v>
      </c>
      <c r="V3" s="29">
        <f>IF($C3=6,I3*введ!C$22,0)</f>
        <v>0</v>
      </c>
    </row>
    <row r="4" spans="1:22" x14ac:dyDescent="0.2">
      <c r="A4" s="64">
        <v>2</v>
      </c>
      <c r="B4" s="64">
        <f>'3гпх'!B16</f>
        <v>0</v>
      </c>
      <c r="C4" s="123">
        <f>'3гпх'!D16</f>
        <v>0</v>
      </c>
      <c r="D4" s="29">
        <f>'3гпх'!E16</f>
        <v>0</v>
      </c>
      <c r="E4" s="30"/>
      <c r="F4" s="33">
        <f>IF('3гпх'!C16=3,0,IF((D4-E4)&gt;введ!C$12,введ!C$12,(D4-E4)))</f>
        <v>0</v>
      </c>
      <c r="G4" s="121">
        <f t="shared" ref="G4:G14" si="7">IF(D4&lt;=0,0,10%)</f>
        <v>0</v>
      </c>
      <c r="H4" s="30"/>
      <c r="I4" s="33">
        <f>IF('3гпх'!C16=3,0,IF((D4-H4)&gt;введ!C$21,введ!C$21,(D4-H4)))</f>
        <v>0</v>
      </c>
      <c r="J4" s="34">
        <f t="shared" si="0"/>
        <v>0</v>
      </c>
      <c r="K4" s="29">
        <f t="shared" si="1"/>
        <v>0</v>
      </c>
      <c r="L4" s="29">
        <f>IF($C4=1,I4*введ!C$22,0)</f>
        <v>0</v>
      </c>
      <c r="M4" s="29">
        <f t="shared" si="2"/>
        <v>0</v>
      </c>
      <c r="N4" s="29">
        <f>IF($C4=2,I4*введ!C$22,0)</f>
        <v>0</v>
      </c>
      <c r="O4" s="29">
        <f t="shared" si="3"/>
        <v>0</v>
      </c>
      <c r="P4" s="29">
        <f>IF($C4=3,I4*введ!C$22,0)</f>
        <v>0</v>
      </c>
      <c r="Q4" s="29">
        <f t="shared" si="4"/>
        <v>0</v>
      </c>
      <c r="R4" s="29">
        <f>IF($C4=4,I4*введ!C$22,0)</f>
        <v>0</v>
      </c>
      <c r="S4" s="29">
        <f t="shared" si="5"/>
        <v>0</v>
      </c>
      <c r="T4" s="29">
        <f>IF($C4=5,I4*введ!C$22,0)</f>
        <v>0</v>
      </c>
      <c r="U4" s="29">
        <f t="shared" si="6"/>
        <v>0</v>
      </c>
      <c r="V4" s="29">
        <f>IF($C4=6,I4*введ!C$22,0)</f>
        <v>0</v>
      </c>
    </row>
    <row r="5" spans="1:22" x14ac:dyDescent="0.2">
      <c r="A5" s="64">
        <v>3</v>
      </c>
      <c r="B5" s="64">
        <f>'3гпх'!B17</f>
        <v>0</v>
      </c>
      <c r="C5" s="123">
        <f>'3гпх'!D17</f>
        <v>0</v>
      </c>
      <c r="D5" s="29">
        <f>'3гпх'!E17</f>
        <v>0</v>
      </c>
      <c r="E5" s="30"/>
      <c r="F5" s="33">
        <f>IF('3гпх'!C17=3,0,IF((D5-E5)&gt;введ!C$12,введ!C$12,(D5-E5)))</f>
        <v>0</v>
      </c>
      <c r="G5" s="121">
        <f t="shared" si="7"/>
        <v>0</v>
      </c>
      <c r="H5" s="30"/>
      <c r="I5" s="33">
        <f>IF('3гпх'!C17=3,0,IF((D5-H5)&gt;введ!C$21,введ!C$21,(D5-H5)))</f>
        <v>0</v>
      </c>
      <c r="J5" s="34">
        <f t="shared" si="0"/>
        <v>0</v>
      </c>
      <c r="K5" s="29">
        <f t="shared" si="1"/>
        <v>0</v>
      </c>
      <c r="L5" s="29">
        <f>IF($C5=1,I5*введ!C$22,0)</f>
        <v>0</v>
      </c>
      <c r="M5" s="29">
        <f t="shared" si="2"/>
        <v>0</v>
      </c>
      <c r="N5" s="29">
        <f>IF($C5=2,I5*введ!C$22,0)</f>
        <v>0</v>
      </c>
      <c r="O5" s="29">
        <f t="shared" si="3"/>
        <v>0</v>
      </c>
      <c r="P5" s="29">
        <f>IF($C5=3,I5*введ!C$22,0)</f>
        <v>0</v>
      </c>
      <c r="Q5" s="29">
        <f t="shared" si="4"/>
        <v>0</v>
      </c>
      <c r="R5" s="29">
        <f>IF($C5=4,I5*введ!C$22,0)</f>
        <v>0</v>
      </c>
      <c r="S5" s="29">
        <f t="shared" si="5"/>
        <v>0</v>
      </c>
      <c r="T5" s="29">
        <f>IF($C5=5,I5*введ!C$22,0)</f>
        <v>0</v>
      </c>
      <c r="U5" s="29">
        <f t="shared" si="6"/>
        <v>0</v>
      </c>
      <c r="V5" s="29">
        <f>IF($C5=6,I5*введ!C$22,0)</f>
        <v>0</v>
      </c>
    </row>
    <row r="6" spans="1:22" x14ac:dyDescent="0.2">
      <c r="A6" s="64">
        <v>4</v>
      </c>
      <c r="B6" s="64">
        <f>'3гпх'!B18</f>
        <v>0</v>
      </c>
      <c r="C6" s="123">
        <f>'3гпх'!D18</f>
        <v>0</v>
      </c>
      <c r="D6" s="29">
        <f>'3гпх'!E18</f>
        <v>0</v>
      </c>
      <c r="E6" s="30"/>
      <c r="F6" s="33">
        <f>IF('3гпх'!C18=3,0,IF((D6-E6)&gt;введ!C$12,введ!C$12,(D6-E6)))</f>
        <v>0</v>
      </c>
      <c r="G6" s="121">
        <f t="shared" si="7"/>
        <v>0</v>
      </c>
      <c r="H6" s="30"/>
      <c r="I6" s="33">
        <f>IF('3гпх'!C18=3,0,IF((D6-H6)&gt;введ!C$21,введ!C$21,(D6-H6)))</f>
        <v>0</v>
      </c>
      <c r="J6" s="34">
        <f t="shared" si="0"/>
        <v>0</v>
      </c>
      <c r="K6" s="29">
        <f t="shared" si="1"/>
        <v>0</v>
      </c>
      <c r="L6" s="29">
        <f>IF($C6=1,I6*введ!C$22,0)</f>
        <v>0</v>
      </c>
      <c r="M6" s="29">
        <f t="shared" si="2"/>
        <v>0</v>
      </c>
      <c r="N6" s="29">
        <f>IF($C6=2,I6*введ!C$22,0)</f>
        <v>0</v>
      </c>
      <c r="O6" s="29">
        <f t="shared" si="3"/>
        <v>0</v>
      </c>
      <c r="P6" s="29">
        <f>IF($C6=3,I6*введ!C$22,0)</f>
        <v>0</v>
      </c>
      <c r="Q6" s="29">
        <f t="shared" si="4"/>
        <v>0</v>
      </c>
      <c r="R6" s="29">
        <f>IF($C6=4,I6*введ!C$22,0)</f>
        <v>0</v>
      </c>
      <c r="S6" s="29">
        <f t="shared" si="5"/>
        <v>0</v>
      </c>
      <c r="T6" s="29">
        <f>IF($C6=5,I6*введ!C$22,0)</f>
        <v>0</v>
      </c>
      <c r="U6" s="29">
        <f t="shared" si="6"/>
        <v>0</v>
      </c>
      <c r="V6" s="29">
        <f>IF($C6=6,I6*введ!C$22,0)</f>
        <v>0</v>
      </c>
    </row>
    <row r="7" spans="1:22" x14ac:dyDescent="0.2">
      <c r="A7" s="64">
        <v>5</v>
      </c>
      <c r="B7" s="64">
        <f>'3гпх'!B19</f>
        <v>0</v>
      </c>
      <c r="C7" s="123">
        <f>'3гпх'!D19</f>
        <v>0</v>
      </c>
      <c r="D7" s="29">
        <f>'3гпх'!E19</f>
        <v>0</v>
      </c>
      <c r="E7" s="30"/>
      <c r="F7" s="33">
        <f>IF('3гпх'!C19=3,0,IF((D7-E7)&gt;введ!C$12,введ!C$12,(D7-E7)))</f>
        <v>0</v>
      </c>
      <c r="G7" s="121">
        <f t="shared" si="7"/>
        <v>0</v>
      </c>
      <c r="H7" s="30"/>
      <c r="I7" s="33">
        <f>IF('3гпх'!C19=3,0,IF((D7-H7)&gt;введ!C$21,введ!C$21,(D7-H7)))</f>
        <v>0</v>
      </c>
      <c r="J7" s="34">
        <f t="shared" si="0"/>
        <v>0</v>
      </c>
      <c r="K7" s="29">
        <f t="shared" si="1"/>
        <v>0</v>
      </c>
      <c r="L7" s="29">
        <f>IF($C7=1,I7*введ!C$22,0)</f>
        <v>0</v>
      </c>
      <c r="M7" s="29">
        <f t="shared" si="2"/>
        <v>0</v>
      </c>
      <c r="N7" s="29">
        <f>IF($C7=2,I7*введ!C$22,0)</f>
        <v>0</v>
      </c>
      <c r="O7" s="29">
        <f t="shared" si="3"/>
        <v>0</v>
      </c>
      <c r="P7" s="29">
        <f>IF($C7=3,I7*введ!C$22,0)</f>
        <v>0</v>
      </c>
      <c r="Q7" s="29">
        <f t="shared" si="4"/>
        <v>0</v>
      </c>
      <c r="R7" s="29">
        <f>IF($C7=4,I7*введ!C$22,0)</f>
        <v>0</v>
      </c>
      <c r="S7" s="29">
        <f t="shared" si="5"/>
        <v>0</v>
      </c>
      <c r="T7" s="29">
        <f>IF($C7=5,I7*введ!C$22,0)</f>
        <v>0</v>
      </c>
      <c r="U7" s="29">
        <f t="shared" si="6"/>
        <v>0</v>
      </c>
      <c r="V7" s="29">
        <f>IF($C7=6,I7*введ!C$22,0)</f>
        <v>0</v>
      </c>
    </row>
    <row r="8" spans="1:22" x14ac:dyDescent="0.2">
      <c r="A8" s="64">
        <v>6</v>
      </c>
      <c r="B8" s="64">
        <f>'3гпх'!B20</f>
        <v>0</v>
      </c>
      <c r="C8" s="123">
        <f>'3гпх'!D20</f>
        <v>0</v>
      </c>
      <c r="D8" s="29">
        <f>'3гпх'!E20</f>
        <v>0</v>
      </c>
      <c r="E8" s="30"/>
      <c r="F8" s="33">
        <f>IF('3гпх'!C20=3,0,IF((D8-E8)&gt;введ!C$12,введ!C$12,(D8-E8)))</f>
        <v>0</v>
      </c>
      <c r="G8" s="121">
        <f t="shared" si="7"/>
        <v>0</v>
      </c>
      <c r="H8" s="30"/>
      <c r="I8" s="33">
        <f>IF('3гпх'!C20=3,0,IF((D8-H8)&gt;введ!C$21,введ!C$21,(D8-H8)))</f>
        <v>0</v>
      </c>
      <c r="J8" s="34">
        <f t="shared" si="0"/>
        <v>0</v>
      </c>
      <c r="K8" s="29">
        <f t="shared" si="1"/>
        <v>0</v>
      </c>
      <c r="L8" s="29">
        <f>IF($C8=1,I8*введ!C$22,0)</f>
        <v>0</v>
      </c>
      <c r="M8" s="29">
        <f t="shared" si="2"/>
        <v>0</v>
      </c>
      <c r="N8" s="29">
        <f>IF($C8=2,I8*введ!C$22,0)</f>
        <v>0</v>
      </c>
      <c r="O8" s="29">
        <f t="shared" si="3"/>
        <v>0</v>
      </c>
      <c r="P8" s="29">
        <f>IF($C8=3,I8*введ!C$22,0)</f>
        <v>0</v>
      </c>
      <c r="Q8" s="29">
        <f t="shared" si="4"/>
        <v>0</v>
      </c>
      <c r="R8" s="29">
        <f>IF($C8=4,I8*введ!C$22,0)</f>
        <v>0</v>
      </c>
      <c r="S8" s="29">
        <f t="shared" si="5"/>
        <v>0</v>
      </c>
      <c r="T8" s="29">
        <f>IF($C8=5,I8*введ!C$22,0)</f>
        <v>0</v>
      </c>
      <c r="U8" s="29">
        <f t="shared" si="6"/>
        <v>0</v>
      </c>
      <c r="V8" s="29">
        <f>IF($C8=6,I8*введ!C$22,0)</f>
        <v>0</v>
      </c>
    </row>
    <row r="9" spans="1:22" x14ac:dyDescent="0.2">
      <c r="A9" s="64">
        <v>7</v>
      </c>
      <c r="B9" s="64">
        <f>'3гпх'!B21</f>
        <v>0</v>
      </c>
      <c r="C9" s="123">
        <f>'3гпх'!D21</f>
        <v>0</v>
      </c>
      <c r="D9" s="29">
        <f>'3гпх'!E21</f>
        <v>0</v>
      </c>
      <c r="E9" s="30"/>
      <c r="F9" s="33">
        <f>IF('3гпх'!C21=3,0,IF((D9-E9)&gt;введ!C$12,введ!C$12,(D9-E9)))</f>
        <v>0</v>
      </c>
      <c r="G9" s="121">
        <f t="shared" si="7"/>
        <v>0</v>
      </c>
      <c r="H9" s="30"/>
      <c r="I9" s="33">
        <f>IF('3гпх'!C21=3,0,IF((D9-H9)&gt;введ!C$21,введ!C$21,(D9-H9)))</f>
        <v>0</v>
      </c>
      <c r="J9" s="34">
        <f t="shared" si="0"/>
        <v>0</v>
      </c>
      <c r="K9" s="29">
        <f t="shared" si="1"/>
        <v>0</v>
      </c>
      <c r="L9" s="29">
        <f>IF($C9=1,I9*введ!C$22,0)</f>
        <v>0</v>
      </c>
      <c r="M9" s="29">
        <f t="shared" si="2"/>
        <v>0</v>
      </c>
      <c r="N9" s="29">
        <f>IF($C9=2,I9*введ!C$22,0)</f>
        <v>0</v>
      </c>
      <c r="O9" s="29">
        <f t="shared" si="3"/>
        <v>0</v>
      </c>
      <c r="P9" s="29">
        <f>IF($C9=3,I9*введ!C$22,0)</f>
        <v>0</v>
      </c>
      <c r="Q9" s="29">
        <f t="shared" si="4"/>
        <v>0</v>
      </c>
      <c r="R9" s="29">
        <f>IF($C9=4,I9*введ!C$22,0)</f>
        <v>0</v>
      </c>
      <c r="S9" s="29">
        <f t="shared" si="5"/>
        <v>0</v>
      </c>
      <c r="T9" s="29">
        <f>IF($C9=5,I9*введ!C$22,0)</f>
        <v>0</v>
      </c>
      <c r="U9" s="29">
        <f t="shared" si="6"/>
        <v>0</v>
      </c>
      <c r="V9" s="29">
        <f>IF($C9=6,I9*введ!C$22,0)</f>
        <v>0</v>
      </c>
    </row>
    <row r="10" spans="1:22" x14ac:dyDescent="0.2">
      <c r="A10" s="64">
        <v>8</v>
      </c>
      <c r="B10" s="64">
        <f>'3гпх'!B22</f>
        <v>0</v>
      </c>
      <c r="C10" s="123">
        <f>'3гпх'!D22</f>
        <v>0</v>
      </c>
      <c r="D10" s="29">
        <f>'3гпх'!E22</f>
        <v>0</v>
      </c>
      <c r="E10" s="30"/>
      <c r="F10" s="33">
        <f>IF('3гпх'!C22=3,0,IF((D10-E10)&gt;введ!C$12,введ!C$12,(D10-E10)))</f>
        <v>0</v>
      </c>
      <c r="G10" s="121">
        <f t="shared" si="7"/>
        <v>0</v>
      </c>
      <c r="H10" s="30"/>
      <c r="I10" s="33">
        <f>IF('3гпх'!C22=3,0,IF((D10-H10)&gt;введ!C$21,введ!C$21,(D10-H10)))</f>
        <v>0</v>
      </c>
      <c r="J10" s="34">
        <f t="shared" si="0"/>
        <v>0</v>
      </c>
      <c r="K10" s="29">
        <f t="shared" si="1"/>
        <v>0</v>
      </c>
      <c r="L10" s="29">
        <f>IF($C10=1,I10*введ!C$22,0)</f>
        <v>0</v>
      </c>
      <c r="M10" s="29">
        <f t="shared" si="2"/>
        <v>0</v>
      </c>
      <c r="N10" s="29">
        <f>IF($C10=2,I10*введ!C$22,0)</f>
        <v>0</v>
      </c>
      <c r="O10" s="29">
        <f t="shared" si="3"/>
        <v>0</v>
      </c>
      <c r="P10" s="29">
        <f>IF($C10=3,I10*введ!C$22,0)</f>
        <v>0</v>
      </c>
      <c r="Q10" s="29">
        <f t="shared" si="4"/>
        <v>0</v>
      </c>
      <c r="R10" s="29">
        <f>IF($C10=4,I10*введ!C$22,0)</f>
        <v>0</v>
      </c>
      <c r="S10" s="29">
        <f t="shared" si="5"/>
        <v>0</v>
      </c>
      <c r="T10" s="29">
        <f>IF($C10=5,I10*введ!C$22,0)</f>
        <v>0</v>
      </c>
      <c r="U10" s="29">
        <f t="shared" si="6"/>
        <v>0</v>
      </c>
      <c r="V10" s="29">
        <f>IF($C10=6,I10*введ!C$22,0)</f>
        <v>0</v>
      </c>
    </row>
    <row r="11" spans="1:22" x14ac:dyDescent="0.2">
      <c r="A11" s="64">
        <v>9</v>
      </c>
      <c r="B11" s="64">
        <f>'3гпх'!B23</f>
        <v>0</v>
      </c>
      <c r="C11" s="123">
        <f>'3гпх'!D23</f>
        <v>0</v>
      </c>
      <c r="D11" s="29">
        <f>'3гпх'!E23</f>
        <v>0</v>
      </c>
      <c r="E11" s="30"/>
      <c r="F11" s="33">
        <f>IF('3гпх'!C23=3,0,IF((D11-E11)&gt;введ!C$12,введ!C$12,(D11-E11)))</f>
        <v>0</v>
      </c>
      <c r="G11" s="121">
        <f t="shared" si="7"/>
        <v>0</v>
      </c>
      <c r="H11" s="30"/>
      <c r="I11" s="33">
        <f>IF('3гпх'!C23=3,0,IF((D11-H11)&gt;введ!C$21,введ!C$21,(D11-H11)))</f>
        <v>0</v>
      </c>
      <c r="J11" s="34">
        <f t="shared" si="0"/>
        <v>0</v>
      </c>
      <c r="K11" s="29">
        <f t="shared" si="1"/>
        <v>0</v>
      </c>
      <c r="L11" s="29">
        <f>IF($C11=1,I11*введ!C$22,0)</f>
        <v>0</v>
      </c>
      <c r="M11" s="29">
        <f t="shared" si="2"/>
        <v>0</v>
      </c>
      <c r="N11" s="29">
        <f>IF($C11=2,I11*введ!C$22,0)</f>
        <v>0</v>
      </c>
      <c r="O11" s="29">
        <f t="shared" si="3"/>
        <v>0</v>
      </c>
      <c r="P11" s="29">
        <f>IF($C11=3,I11*введ!C$22,0)</f>
        <v>0</v>
      </c>
      <c r="Q11" s="29">
        <f t="shared" si="4"/>
        <v>0</v>
      </c>
      <c r="R11" s="29">
        <f>IF($C11=4,I11*введ!C$22,0)</f>
        <v>0</v>
      </c>
      <c r="S11" s="29">
        <f t="shared" si="5"/>
        <v>0</v>
      </c>
      <c r="T11" s="29">
        <f>IF($C11=5,I11*введ!C$22,0)</f>
        <v>0</v>
      </c>
      <c r="U11" s="29">
        <f t="shared" si="6"/>
        <v>0</v>
      </c>
      <c r="V11" s="29">
        <f>IF($C11=6,I11*введ!C$22,0)</f>
        <v>0</v>
      </c>
    </row>
    <row r="12" spans="1:22" x14ac:dyDescent="0.2">
      <c r="A12" s="64">
        <v>10</v>
      </c>
      <c r="B12" s="64">
        <f>'3гпх'!B24</f>
        <v>0</v>
      </c>
      <c r="C12" s="123">
        <f>'3гпх'!D24</f>
        <v>0</v>
      </c>
      <c r="D12" s="29">
        <f>'3гпх'!E24</f>
        <v>0</v>
      </c>
      <c r="E12" s="30"/>
      <c r="F12" s="33">
        <f>IF('3гпх'!C24=3,0,IF((D12-E12)&gt;введ!C$12,введ!C$12,(D12-E12)))</f>
        <v>0</v>
      </c>
      <c r="G12" s="121">
        <f t="shared" si="7"/>
        <v>0</v>
      </c>
      <c r="H12" s="30"/>
      <c r="I12" s="33">
        <f>IF('3гпх'!C24=3,0,IF((D12-H12)&gt;введ!C$21,введ!C$21,(D12-H12)))</f>
        <v>0</v>
      </c>
      <c r="J12" s="34">
        <f t="shared" si="0"/>
        <v>0</v>
      </c>
      <c r="K12" s="29">
        <f t="shared" si="1"/>
        <v>0</v>
      </c>
      <c r="L12" s="29">
        <f>IF($C12=1,I12*введ!C$22,0)</f>
        <v>0</v>
      </c>
      <c r="M12" s="29">
        <f t="shared" si="2"/>
        <v>0</v>
      </c>
      <c r="N12" s="29">
        <f>IF($C12=2,I12*введ!C$22,0)</f>
        <v>0</v>
      </c>
      <c r="O12" s="29">
        <f t="shared" si="3"/>
        <v>0</v>
      </c>
      <c r="P12" s="29">
        <f>IF($C12=3,I12*введ!C$22,0)</f>
        <v>0</v>
      </c>
      <c r="Q12" s="29">
        <f t="shared" si="4"/>
        <v>0</v>
      </c>
      <c r="R12" s="29">
        <f>IF($C12=4,I12*введ!C$22,0)</f>
        <v>0</v>
      </c>
      <c r="S12" s="29">
        <f t="shared" si="5"/>
        <v>0</v>
      </c>
      <c r="T12" s="29">
        <f>IF($C12=5,I12*введ!C$22,0)</f>
        <v>0</v>
      </c>
      <c r="U12" s="29">
        <f t="shared" si="6"/>
        <v>0</v>
      </c>
      <c r="V12" s="29">
        <f>IF($C12=6,I12*введ!C$22,0)</f>
        <v>0</v>
      </c>
    </row>
    <row r="13" spans="1:22" x14ac:dyDescent="0.2">
      <c r="A13" s="64">
        <v>11</v>
      </c>
      <c r="B13" s="64">
        <f>'3гпх'!B25</f>
        <v>0</v>
      </c>
      <c r="C13" s="123">
        <f>'3гпх'!D25</f>
        <v>0</v>
      </c>
      <c r="D13" s="29">
        <f>'3гпх'!E25</f>
        <v>0</v>
      </c>
      <c r="E13" s="30"/>
      <c r="F13" s="33">
        <f>IF('3гпх'!C25=3,0,IF((D13-E13)&gt;введ!C$12,введ!C$12,(D13-E13)))</f>
        <v>0</v>
      </c>
      <c r="G13" s="121">
        <f t="shared" si="7"/>
        <v>0</v>
      </c>
      <c r="H13" s="30"/>
      <c r="I13" s="33">
        <f>IF('3гпх'!C25=3,0,IF((D13-H13)&gt;введ!C$21,введ!C$21,(D13-H13)))</f>
        <v>0</v>
      </c>
      <c r="J13" s="34">
        <f t="shared" si="0"/>
        <v>0</v>
      </c>
      <c r="K13" s="29">
        <f t="shared" si="1"/>
        <v>0</v>
      </c>
      <c r="L13" s="29">
        <f>IF($C13=1,I13*введ!C$22,0)</f>
        <v>0</v>
      </c>
      <c r="M13" s="29">
        <f t="shared" si="2"/>
        <v>0</v>
      </c>
      <c r="N13" s="29">
        <f>IF($C13=2,I13*введ!C$22,0)</f>
        <v>0</v>
      </c>
      <c r="O13" s="29">
        <f t="shared" si="3"/>
        <v>0</v>
      </c>
      <c r="P13" s="29">
        <f>IF($C13=3,I13*введ!C$22,0)</f>
        <v>0</v>
      </c>
      <c r="Q13" s="29">
        <f t="shared" si="4"/>
        <v>0</v>
      </c>
      <c r="R13" s="29">
        <f>IF($C13=4,I13*введ!C$22,0)</f>
        <v>0</v>
      </c>
      <c r="S13" s="29">
        <f t="shared" si="5"/>
        <v>0</v>
      </c>
      <c r="T13" s="29">
        <f>IF($C13=5,I13*введ!C$22,0)</f>
        <v>0</v>
      </c>
      <c r="U13" s="29">
        <f t="shared" si="6"/>
        <v>0</v>
      </c>
      <c r="V13" s="29">
        <f>IF($C13=6,I13*введ!C$22,0)</f>
        <v>0</v>
      </c>
    </row>
    <row r="14" spans="1:22" x14ac:dyDescent="0.2">
      <c r="A14" s="64">
        <v>12</v>
      </c>
      <c r="B14" s="64">
        <f>'3гпх'!B26</f>
        <v>0</v>
      </c>
      <c r="C14" s="123">
        <f>'3гпх'!D26</f>
        <v>0</v>
      </c>
      <c r="D14" s="29">
        <f>'3гпх'!E26</f>
        <v>0</v>
      </c>
      <c r="E14" s="30"/>
      <c r="F14" s="33">
        <f>IF('3гпх'!C26=3,0,IF((D14-E14)&gt;введ!C$12,введ!C$12,(D14-E14)))</f>
        <v>0</v>
      </c>
      <c r="G14" s="121">
        <f t="shared" si="7"/>
        <v>0</v>
      </c>
      <c r="H14" s="30"/>
      <c r="I14" s="33">
        <f>IF('3гпх'!C26=3,0,IF((D14-H14)&gt;введ!C$21,введ!C$21,(D14-H14)))</f>
        <v>0</v>
      </c>
      <c r="J14" s="34">
        <f t="shared" si="0"/>
        <v>0</v>
      </c>
      <c r="K14" s="29">
        <f t="shared" si="1"/>
        <v>0</v>
      </c>
      <c r="L14" s="29">
        <f>IF($C14=1,I14*введ!C$22,0)</f>
        <v>0</v>
      </c>
      <c r="M14" s="29">
        <f t="shared" si="2"/>
        <v>0</v>
      </c>
      <c r="N14" s="29">
        <f>IF($C14=2,I14*введ!C$22,0)</f>
        <v>0</v>
      </c>
      <c r="O14" s="29">
        <f t="shared" si="3"/>
        <v>0</v>
      </c>
      <c r="P14" s="29">
        <f>IF($C14=3,I14*введ!C$22,0)</f>
        <v>0</v>
      </c>
      <c r="Q14" s="29">
        <f t="shared" si="4"/>
        <v>0</v>
      </c>
      <c r="R14" s="29">
        <f>IF($C14=4,I14*введ!C$22,0)</f>
        <v>0</v>
      </c>
      <c r="S14" s="29">
        <f t="shared" si="5"/>
        <v>0</v>
      </c>
      <c r="T14" s="29">
        <f>IF($C14=5,I14*введ!C$22,0)</f>
        <v>0</v>
      </c>
      <c r="U14" s="29">
        <f t="shared" si="6"/>
        <v>0</v>
      </c>
      <c r="V14" s="29">
        <f>IF($C14=6,I14*введ!C$22,0)</f>
        <v>0</v>
      </c>
    </row>
    <row r="15" spans="1:22" x14ac:dyDescent="0.2">
      <c r="A15" s="402" t="s">
        <v>72</v>
      </c>
      <c r="B15" s="403"/>
      <c r="C15" s="15"/>
      <c r="D15" s="120">
        <f>SUM(D3:D14)</f>
        <v>160000</v>
      </c>
      <c r="E15" s="120">
        <f>SUM(E3:E14)</f>
        <v>0</v>
      </c>
      <c r="F15" s="120">
        <f>SUM(F3:F14)</f>
        <v>160000</v>
      </c>
      <c r="G15" s="113"/>
      <c r="H15" s="120">
        <f>SUM(H3:H14)</f>
        <v>0</v>
      </c>
      <c r="I15" s="120">
        <f>SUM(I3:I14)</f>
        <v>160000</v>
      </c>
      <c r="J15" s="113"/>
      <c r="K15" s="124">
        <f t="shared" ref="K15:T15" si="8">SUM(K3:K14)</f>
        <v>0</v>
      </c>
      <c r="L15" s="124">
        <f t="shared" ref="L15:N15" si="9">SUM(L3:L14)</f>
        <v>0</v>
      </c>
      <c r="M15" s="124">
        <f t="shared" si="8"/>
        <v>0</v>
      </c>
      <c r="N15" s="124">
        <f t="shared" si="9"/>
        <v>0</v>
      </c>
      <c r="O15" s="124">
        <f t="shared" si="8"/>
        <v>0</v>
      </c>
      <c r="P15" s="124">
        <f t="shared" si="8"/>
        <v>0</v>
      </c>
      <c r="Q15" s="124">
        <f t="shared" si="8"/>
        <v>16000</v>
      </c>
      <c r="R15" s="124">
        <f t="shared" si="8"/>
        <v>3200</v>
      </c>
      <c r="S15" s="124">
        <f t="shared" si="8"/>
        <v>0</v>
      </c>
      <c r="T15" s="124">
        <f t="shared" si="8"/>
        <v>0</v>
      </c>
      <c r="U15" s="124">
        <f t="shared" ref="U15:V15" si="10">SUM(U3:U14)</f>
        <v>0</v>
      </c>
      <c r="V15" s="124">
        <f t="shared" si="10"/>
        <v>0</v>
      </c>
    </row>
    <row r="16" spans="1:22" x14ac:dyDescent="0.2">
      <c r="A16" s="22"/>
      <c r="B16" s="22"/>
      <c r="C16" s="22"/>
      <c r="D16" s="22"/>
    </row>
  </sheetData>
  <mergeCells count="1">
    <mergeCell ref="A15:B15"/>
  </mergeCells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L39"/>
  <sheetViews>
    <sheetView topLeftCell="A10" workbookViewId="0">
      <pane xSplit="2" ySplit="5" topLeftCell="C15" activePane="bottomRight" state="frozen"/>
      <selection activeCell="A10" sqref="A10"/>
      <selection pane="topRight" activeCell="C10" sqref="C10"/>
      <selection pane="bottomLeft" activeCell="A15" sqref="A15"/>
      <selection pane="bottomRight" activeCell="K15" sqref="K15"/>
    </sheetView>
  </sheetViews>
  <sheetFormatPr defaultColWidth="8.7109375" defaultRowHeight="12.75" x14ac:dyDescent="0.2"/>
  <cols>
    <col min="1" max="1" width="5.85546875" style="16" customWidth="1"/>
    <col min="2" max="2" width="36.140625" style="16" customWidth="1"/>
    <col min="3" max="3" width="14.7109375" style="16" customWidth="1"/>
    <col min="4" max="4" width="17.5703125" style="16" customWidth="1"/>
    <col min="5" max="5" width="10.28515625" style="16" customWidth="1"/>
    <col min="6" max="6" width="23.7109375" style="16" customWidth="1"/>
    <col min="7" max="7" width="13.5703125" style="16" customWidth="1"/>
    <col min="8" max="8" width="14.28515625" style="16" customWidth="1"/>
    <col min="9" max="9" width="12.85546875" style="16" customWidth="1"/>
    <col min="10" max="10" width="18.85546875" style="16" customWidth="1"/>
    <col min="11" max="11" width="17.28515625" style="16" customWidth="1"/>
    <col min="12" max="12" width="11.85546875" style="16" customWidth="1"/>
    <col min="13" max="24" width="13.5703125" style="16" customWidth="1"/>
    <col min="25" max="38" width="13.140625" style="16" customWidth="1"/>
    <col min="39" max="16384" width="8.7109375" style="16"/>
  </cols>
  <sheetData>
    <row r="2" spans="1:38" x14ac:dyDescent="0.2">
      <c r="F2" s="17" t="s">
        <v>14</v>
      </c>
      <c r="K2" s="18"/>
      <c r="L2" s="18"/>
    </row>
    <row r="3" spans="1:38" x14ac:dyDescent="0.2">
      <c r="A3" s="20"/>
      <c r="B3" s="20"/>
      <c r="C3" s="20"/>
      <c r="D3" s="20"/>
      <c r="E3" s="20"/>
      <c r="F3" s="20"/>
    </row>
    <row r="4" spans="1:38" x14ac:dyDescent="0.2">
      <c r="A4" s="21" t="s">
        <v>67</v>
      </c>
      <c r="B4" s="22"/>
      <c r="C4" s="22"/>
      <c r="D4" s="21"/>
      <c r="E4" s="21"/>
      <c r="F4" s="21"/>
    </row>
    <row r="6" spans="1:38" x14ac:dyDescent="0.2">
      <c r="A6" s="16">
        <v>1</v>
      </c>
      <c r="B6" s="21" t="s">
        <v>68</v>
      </c>
      <c r="C6" s="21"/>
      <c r="D6" s="21"/>
      <c r="E6" s="21"/>
      <c r="F6" s="21"/>
    </row>
    <row r="7" spans="1:38" x14ac:dyDescent="0.2">
      <c r="A7" s="16">
        <v>2</v>
      </c>
      <c r="B7" s="23" t="s">
        <v>15</v>
      </c>
      <c r="C7" s="23"/>
      <c r="D7" s="23"/>
      <c r="E7" s="23"/>
      <c r="F7" s="24">
        <f>'910.00'!D8</f>
        <v>111111111111</v>
      </c>
    </row>
    <row r="8" spans="1:38" x14ac:dyDescent="0.2">
      <c r="A8" s="16">
        <v>3</v>
      </c>
      <c r="B8" s="21" t="s">
        <v>131</v>
      </c>
      <c r="C8" s="21"/>
      <c r="D8" s="21"/>
      <c r="E8" s="21"/>
      <c r="F8" s="21"/>
      <c r="G8" s="160">
        <f>'910.00'!L12</f>
        <v>1</v>
      </c>
      <c r="H8" s="160">
        <f>'910.00'!O12</f>
        <v>2021</v>
      </c>
      <c r="I8" s="16" t="s">
        <v>132</v>
      </c>
    </row>
    <row r="9" spans="1:38" x14ac:dyDescent="0.2">
      <c r="A9" s="25"/>
      <c r="B9" s="25"/>
      <c r="C9" s="25"/>
      <c r="D9" s="25"/>
      <c r="E9" s="25"/>
      <c r="F9" s="25"/>
      <c r="G9" s="25"/>
    </row>
    <row r="10" spans="1:38" x14ac:dyDescent="0.2">
      <c r="A10" s="401" t="s">
        <v>357</v>
      </c>
      <c r="B10" s="401"/>
      <c r="C10" s="401"/>
      <c r="D10" s="401"/>
      <c r="E10" s="401"/>
      <c r="F10" s="401"/>
      <c r="G10" s="401"/>
      <c r="H10" s="401"/>
    </row>
    <row r="11" spans="1:38" x14ac:dyDescent="0.2">
      <c r="A11" s="25"/>
      <c r="B11" s="162" t="s">
        <v>358</v>
      </c>
      <c r="C11" s="162"/>
      <c r="D11" s="25"/>
      <c r="E11" s="25"/>
      <c r="F11" s="25"/>
    </row>
    <row r="12" spans="1:38" x14ac:dyDescent="0.2">
      <c r="A12" s="25"/>
      <c r="B12" s="25"/>
      <c r="C12" s="25"/>
      <c r="D12" s="25"/>
      <c r="E12" s="25"/>
      <c r="F12" s="25"/>
    </row>
    <row r="13" spans="1:38" ht="140.25" x14ac:dyDescent="0.2">
      <c r="A13" s="13" t="s">
        <v>69</v>
      </c>
      <c r="B13" s="13" t="s">
        <v>133</v>
      </c>
      <c r="C13" s="13" t="s">
        <v>359</v>
      </c>
      <c r="D13" s="13" t="s">
        <v>376</v>
      </c>
      <c r="E13" s="13" t="s">
        <v>135</v>
      </c>
      <c r="F13" s="13" t="s">
        <v>360</v>
      </c>
      <c r="G13" s="13" t="s">
        <v>361</v>
      </c>
      <c r="H13" s="13" t="s">
        <v>74</v>
      </c>
      <c r="I13" s="13" t="s">
        <v>362</v>
      </c>
      <c r="J13" s="13" t="s">
        <v>129</v>
      </c>
      <c r="K13" s="13" t="s">
        <v>130</v>
      </c>
      <c r="L13" s="13" t="s">
        <v>134</v>
      </c>
      <c r="M13" s="13" t="s">
        <v>129</v>
      </c>
      <c r="N13" s="13" t="s">
        <v>130</v>
      </c>
      <c r="O13" s="13" t="s">
        <v>129</v>
      </c>
      <c r="P13" s="13" t="s">
        <v>130</v>
      </c>
      <c r="Q13" s="13" t="s">
        <v>129</v>
      </c>
      <c r="R13" s="13" t="s">
        <v>130</v>
      </c>
      <c r="S13" s="13" t="s">
        <v>129</v>
      </c>
      <c r="T13" s="13" t="s">
        <v>130</v>
      </c>
      <c r="U13" s="13" t="s">
        <v>129</v>
      </c>
      <c r="V13" s="13" t="s">
        <v>130</v>
      </c>
      <c r="W13" s="13" t="s">
        <v>129</v>
      </c>
      <c r="X13" s="13" t="s">
        <v>130</v>
      </c>
      <c r="Y13" s="13" t="s">
        <v>254</v>
      </c>
      <c r="Z13" s="13" t="s">
        <v>255</v>
      </c>
      <c r="AA13" s="13" t="s">
        <v>254</v>
      </c>
      <c r="AB13" s="13" t="s">
        <v>255</v>
      </c>
      <c r="AC13" s="13" t="s">
        <v>254</v>
      </c>
      <c r="AD13" s="13" t="s">
        <v>255</v>
      </c>
      <c r="AE13" s="13" t="s">
        <v>254</v>
      </c>
      <c r="AF13" s="13" t="s">
        <v>255</v>
      </c>
      <c r="AG13" s="13" t="s">
        <v>254</v>
      </c>
      <c r="AH13" s="13" t="s">
        <v>255</v>
      </c>
      <c r="AI13" s="13" t="s">
        <v>254</v>
      </c>
      <c r="AJ13" s="13" t="s">
        <v>255</v>
      </c>
      <c r="AK13" s="13" t="s">
        <v>254</v>
      </c>
      <c r="AL13" s="13" t="s">
        <v>255</v>
      </c>
    </row>
    <row r="14" spans="1:38" x14ac:dyDescent="0.2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404" t="str">
        <f>IF('910.00'!$L12=1,"январь","июль")</f>
        <v>январь</v>
      </c>
      <c r="N14" s="404"/>
      <c r="O14" s="404" t="str">
        <f>IF('910.00'!$L12=1,"февраль","август")</f>
        <v>февраль</v>
      </c>
      <c r="P14" s="404"/>
      <c r="Q14" s="404" t="str">
        <f>IF('910.00'!$L12=1,"март","сентябрь")</f>
        <v>март</v>
      </c>
      <c r="R14" s="404"/>
      <c r="S14" s="404" t="str">
        <f>IF('910.00'!$L12=1,"апрель","октябрь")</f>
        <v>апрель</v>
      </c>
      <c r="T14" s="404"/>
      <c r="U14" s="404" t="str">
        <f>IF('910.00'!$L12=1,"май","ноябрь")</f>
        <v>май</v>
      </c>
      <c r="V14" s="404"/>
      <c r="W14" s="404" t="str">
        <f>IF('910.00'!$L12=1,"июнь","декабрь")</f>
        <v>июнь</v>
      </c>
      <c r="X14" s="404"/>
      <c r="Y14" s="404" t="str">
        <f>IF('910.00'!$L12=1,"январь","июль")</f>
        <v>январь</v>
      </c>
      <c r="Z14" s="404"/>
      <c r="AA14" s="404" t="str">
        <f>IF('910.00'!$L12=1,"февраль","август")</f>
        <v>февраль</v>
      </c>
      <c r="AB14" s="404"/>
      <c r="AC14" s="404" t="str">
        <f>IF('910.00'!$L12=1,"март","сентябрь")</f>
        <v>март</v>
      </c>
      <c r="AD14" s="404"/>
      <c r="AE14" s="404" t="str">
        <f>IF('910.00'!$L12=1,"апрель","октябрь")</f>
        <v>апрель</v>
      </c>
      <c r="AF14" s="404"/>
      <c r="AG14" s="404" t="str">
        <f>IF('910.00'!$L12=1,"май","ноябрь")</f>
        <v>май</v>
      </c>
      <c r="AH14" s="404"/>
      <c r="AI14" s="404" t="str">
        <f>IF('910.00'!$L12=1,"июнь","декабрь")</f>
        <v>июнь</v>
      </c>
      <c r="AJ14" s="404"/>
      <c r="AK14" s="404" t="s">
        <v>292</v>
      </c>
      <c r="AL14" s="404"/>
    </row>
    <row r="15" spans="1:38" x14ac:dyDescent="0.2">
      <c r="A15" s="26">
        <v>1</v>
      </c>
      <c r="B15" s="26" t="s">
        <v>363</v>
      </c>
      <c r="C15" s="27">
        <v>345678912345</v>
      </c>
      <c r="D15" s="28">
        <v>3</v>
      </c>
      <c r="E15" s="28">
        <v>2</v>
      </c>
      <c r="F15" s="30">
        <v>1500000</v>
      </c>
      <c r="G15" s="30"/>
      <c r="H15" s="33">
        <f>F15-G15</f>
        <v>1500000</v>
      </c>
      <c r="I15" s="121">
        <f>IF(F15&lt;=0,0,IF(D15&gt;=3,15%,5%))</f>
        <v>0.15</v>
      </c>
      <c r="J15" s="33">
        <f t="shared" ref="J15:J26" si="0">IF(D15=1,H15*I15,0)</f>
        <v>0</v>
      </c>
      <c r="K15" s="33">
        <f t="shared" ref="K15:K26" si="1">IF(D15=1,0,H15*I15)</f>
        <v>225000</v>
      </c>
      <c r="L15" s="137">
        <f>IF(E15&gt;6,E15-6,E15)</f>
        <v>2</v>
      </c>
      <c r="M15" s="33">
        <f>IF($L15=1,$J15,0)</f>
        <v>0</v>
      </c>
      <c r="N15" s="33">
        <f>IF($L15=1,$K15,0)</f>
        <v>0</v>
      </c>
      <c r="O15" s="33">
        <f>IF($L15=2,$J15,0)</f>
        <v>0</v>
      </c>
      <c r="P15" s="33">
        <f>IF($L15=2,$K15,0)</f>
        <v>225000</v>
      </c>
      <c r="Q15" s="33">
        <f>IF($L15=3,$J15,0)</f>
        <v>0</v>
      </c>
      <c r="R15" s="33">
        <f>IF($L15=3,$K15,0)</f>
        <v>0</v>
      </c>
      <c r="S15" s="33">
        <f>IF($L15=4,$J15,0)</f>
        <v>0</v>
      </c>
      <c r="T15" s="33">
        <f>IF($L15=4,$K15,0)</f>
        <v>0</v>
      </c>
      <c r="U15" s="33">
        <f>IF($L15=5,$J15,0)</f>
        <v>0</v>
      </c>
      <c r="V15" s="33">
        <f>IF($L15=5,$K15,0)</f>
        <v>0</v>
      </c>
      <c r="W15" s="33">
        <f>IF($L15=6,$J15,0)</f>
        <v>0</v>
      </c>
      <c r="X15" s="33">
        <f>IF($L15=6,$K15,0)</f>
        <v>0</v>
      </c>
      <c r="Y15" s="33">
        <f>IF(D15=1,IF(E15=1,F15,0),0)</f>
        <v>0</v>
      </c>
      <c r="Z15" s="33">
        <f>IF(D15&gt;1,IF(E15=1,F15,0),0)</f>
        <v>0</v>
      </c>
      <c r="AA15" s="33">
        <f>IF(D15=1,IF(E15=2,F15,0),0)</f>
        <v>0</v>
      </c>
      <c r="AB15" s="33">
        <f>IF(D15&gt;1,IF(E15=2,F15,0),0)</f>
        <v>1500000</v>
      </c>
      <c r="AC15" s="33">
        <f>IF(D15=1,IF(E15=3,F15,0),0)</f>
        <v>0</v>
      </c>
      <c r="AD15" s="33">
        <f>IF(D15&gt;1,IF(E15=3,F15,0),0)</f>
        <v>0</v>
      </c>
      <c r="AE15" s="33">
        <f>IF(D15=1,IF(E15=4,F15,0),0)</f>
        <v>0</v>
      </c>
      <c r="AF15" s="33">
        <f>IF(D15&gt;1,IF(E15=4,F15,0),0)</f>
        <v>0</v>
      </c>
      <c r="AG15" s="33">
        <f>IF(D15=1,IF(E15=5,F15,0),0)</f>
        <v>0</v>
      </c>
      <c r="AH15" s="33">
        <f>IF(D15&gt;1,IF(E15=5,F15,0),0)</f>
        <v>0</v>
      </c>
      <c r="AI15" s="33">
        <f>IF(D15=1,IF(E15=6,F15,0),0)</f>
        <v>0</v>
      </c>
      <c r="AJ15" s="33">
        <f>IF(D15&gt;1,IF(E15=6,F15,0),0)</f>
        <v>0</v>
      </c>
      <c r="AK15" s="33">
        <f>Y15+AA15+AC15+AE15+AG15+AI15</f>
        <v>0</v>
      </c>
      <c r="AL15" s="33">
        <f>Z15+AB15+AD15+AF15+AH15+AJ15</f>
        <v>1500000</v>
      </c>
    </row>
    <row r="16" spans="1:38" x14ac:dyDescent="0.2">
      <c r="A16" s="26">
        <v>2</v>
      </c>
      <c r="B16" s="26"/>
      <c r="C16" s="27"/>
      <c r="D16" s="28"/>
      <c r="E16" s="28"/>
      <c r="F16" s="30"/>
      <c r="G16" s="30"/>
      <c r="H16" s="33">
        <f t="shared" ref="H16:H26" si="2">F16-G16</f>
        <v>0</v>
      </c>
      <c r="I16" s="121">
        <f t="shared" ref="I16:I26" si="3">IF(F16&lt;=0,0,IF(D16&gt;=3,15%,5%))</f>
        <v>0</v>
      </c>
      <c r="J16" s="33">
        <f t="shared" si="0"/>
        <v>0</v>
      </c>
      <c r="K16" s="33">
        <f t="shared" si="1"/>
        <v>0</v>
      </c>
      <c r="L16" s="137">
        <f t="shared" ref="L16:L26" si="4">IF(E16&gt;6,E16-6,E16)</f>
        <v>0</v>
      </c>
      <c r="M16" s="33">
        <f t="shared" ref="M16:M26" si="5">IF($L16=1,$J16,0)</f>
        <v>0</v>
      </c>
      <c r="N16" s="33">
        <f t="shared" ref="N16:N26" si="6">IF($L16=1,$K16,0)</f>
        <v>0</v>
      </c>
      <c r="O16" s="33">
        <f t="shared" ref="O16:O26" si="7">IF($L16=2,$J16,0)</f>
        <v>0</v>
      </c>
      <c r="P16" s="33">
        <f t="shared" ref="P16:P26" si="8">IF($L16=2,$K16,0)</f>
        <v>0</v>
      </c>
      <c r="Q16" s="33">
        <f t="shared" ref="Q16:Q26" si="9">IF($L16=3,$J16,0)</f>
        <v>0</v>
      </c>
      <c r="R16" s="33">
        <f t="shared" ref="R16:R26" si="10">IF($L16=3,$K16,0)</f>
        <v>0</v>
      </c>
      <c r="S16" s="33">
        <f t="shared" ref="S16:S26" si="11">IF($L16=4,$J16,0)</f>
        <v>0</v>
      </c>
      <c r="T16" s="33">
        <f t="shared" ref="T16:T26" si="12">IF($L16=4,$K16,0)</f>
        <v>0</v>
      </c>
      <c r="U16" s="33">
        <f t="shared" ref="U16:U26" si="13">IF($L16=5,$J16,0)</f>
        <v>0</v>
      </c>
      <c r="V16" s="33">
        <f t="shared" ref="V16:V26" si="14">IF($L16=5,$K16,0)</f>
        <v>0</v>
      </c>
      <c r="W16" s="33">
        <f t="shared" ref="W16:W26" si="15">IF($L16=6,$J16,0)</f>
        <v>0</v>
      </c>
      <c r="X16" s="33">
        <f t="shared" ref="X16:X26" si="16">IF($L16=6,$K16,0)</f>
        <v>0</v>
      </c>
      <c r="Y16" s="33">
        <f t="shared" ref="Y16:Y26" si="17">IF(D16=1,IF(E16=1,F16,0),0)</f>
        <v>0</v>
      </c>
      <c r="Z16" s="33">
        <f t="shared" ref="Z16:Z26" si="18">IF(D16&gt;1,IF(E16=1,F16,0),0)</f>
        <v>0</v>
      </c>
      <c r="AA16" s="33">
        <f t="shared" ref="AA16:AA26" si="19">IF(D16=1,IF(E16=2,F16,0),0)</f>
        <v>0</v>
      </c>
      <c r="AB16" s="33">
        <f t="shared" ref="AB16:AB26" si="20">IF(D16&gt;1,IF(E16=2,F16,0),0)</f>
        <v>0</v>
      </c>
      <c r="AC16" s="33">
        <f t="shared" ref="AC16:AC26" si="21">IF(D16=1,IF(E16=3,F16,0),0)</f>
        <v>0</v>
      </c>
      <c r="AD16" s="33">
        <f t="shared" ref="AD16:AD26" si="22">IF(D16&gt;1,IF(E16=3,F16,0),0)</f>
        <v>0</v>
      </c>
      <c r="AE16" s="33">
        <f t="shared" ref="AE16:AE26" si="23">IF(D16=1,IF(E16=4,F16,0),0)</f>
        <v>0</v>
      </c>
      <c r="AF16" s="33">
        <f t="shared" ref="AF16:AF26" si="24">IF(D16&gt;1,IF(E16=4,F16,0),0)</f>
        <v>0</v>
      </c>
      <c r="AG16" s="33">
        <f t="shared" ref="AG16:AG26" si="25">IF(D16=1,IF(E16=5,F16,0),0)</f>
        <v>0</v>
      </c>
      <c r="AH16" s="33">
        <f t="shared" ref="AH16:AH26" si="26">IF(D16&gt;1,IF(E16=5,F16,0),0)</f>
        <v>0</v>
      </c>
      <c r="AI16" s="33">
        <f t="shared" ref="AI16:AI26" si="27">IF(D16=1,IF(E16=6,F16,0),0)</f>
        <v>0</v>
      </c>
      <c r="AJ16" s="33">
        <f t="shared" ref="AJ16:AJ26" si="28">IF(D16&gt;1,IF(E16=6,F16,0),0)</f>
        <v>0</v>
      </c>
      <c r="AK16" s="33">
        <f t="shared" ref="AK16:AL26" si="29">Y16+AA16+AC16+AE16+AG16+AI16</f>
        <v>0</v>
      </c>
      <c r="AL16" s="33">
        <f t="shared" si="29"/>
        <v>0</v>
      </c>
    </row>
    <row r="17" spans="1:38" x14ac:dyDescent="0.2">
      <c r="A17" s="26">
        <v>3</v>
      </c>
      <c r="B17" s="26"/>
      <c r="C17" s="27"/>
      <c r="D17" s="28"/>
      <c r="E17" s="28"/>
      <c r="F17" s="30"/>
      <c r="G17" s="30"/>
      <c r="H17" s="33">
        <f t="shared" si="2"/>
        <v>0</v>
      </c>
      <c r="I17" s="121">
        <f t="shared" si="3"/>
        <v>0</v>
      </c>
      <c r="J17" s="33">
        <f t="shared" si="0"/>
        <v>0</v>
      </c>
      <c r="K17" s="33">
        <f t="shared" si="1"/>
        <v>0</v>
      </c>
      <c r="L17" s="137">
        <f t="shared" si="4"/>
        <v>0</v>
      </c>
      <c r="M17" s="33">
        <f t="shared" si="5"/>
        <v>0</v>
      </c>
      <c r="N17" s="33">
        <f t="shared" si="6"/>
        <v>0</v>
      </c>
      <c r="O17" s="33">
        <f t="shared" si="7"/>
        <v>0</v>
      </c>
      <c r="P17" s="33">
        <f t="shared" si="8"/>
        <v>0</v>
      </c>
      <c r="Q17" s="33">
        <f t="shared" si="9"/>
        <v>0</v>
      </c>
      <c r="R17" s="33">
        <f t="shared" si="10"/>
        <v>0</v>
      </c>
      <c r="S17" s="33">
        <f t="shared" si="11"/>
        <v>0</v>
      </c>
      <c r="T17" s="33">
        <f t="shared" si="12"/>
        <v>0</v>
      </c>
      <c r="U17" s="33">
        <f t="shared" si="13"/>
        <v>0</v>
      </c>
      <c r="V17" s="33">
        <f t="shared" si="14"/>
        <v>0</v>
      </c>
      <c r="W17" s="33">
        <f t="shared" si="15"/>
        <v>0</v>
      </c>
      <c r="X17" s="33">
        <f t="shared" si="16"/>
        <v>0</v>
      </c>
      <c r="Y17" s="33">
        <f t="shared" si="17"/>
        <v>0</v>
      </c>
      <c r="Z17" s="33">
        <f t="shared" si="18"/>
        <v>0</v>
      </c>
      <c r="AA17" s="33">
        <f t="shared" si="19"/>
        <v>0</v>
      </c>
      <c r="AB17" s="33">
        <f t="shared" si="20"/>
        <v>0</v>
      </c>
      <c r="AC17" s="33">
        <f t="shared" si="21"/>
        <v>0</v>
      </c>
      <c r="AD17" s="33">
        <f t="shared" si="22"/>
        <v>0</v>
      </c>
      <c r="AE17" s="33">
        <f t="shared" si="23"/>
        <v>0</v>
      </c>
      <c r="AF17" s="33">
        <f t="shared" si="24"/>
        <v>0</v>
      </c>
      <c r="AG17" s="33">
        <f t="shared" si="25"/>
        <v>0</v>
      </c>
      <c r="AH17" s="33">
        <f t="shared" si="26"/>
        <v>0</v>
      </c>
      <c r="AI17" s="33">
        <f t="shared" si="27"/>
        <v>0</v>
      </c>
      <c r="AJ17" s="33">
        <f t="shared" si="28"/>
        <v>0</v>
      </c>
      <c r="AK17" s="33">
        <f t="shared" si="29"/>
        <v>0</v>
      </c>
      <c r="AL17" s="33">
        <f t="shared" si="29"/>
        <v>0</v>
      </c>
    </row>
    <row r="18" spans="1:38" x14ac:dyDescent="0.2">
      <c r="A18" s="26">
        <v>4</v>
      </c>
      <c r="B18" s="26"/>
      <c r="C18" s="27"/>
      <c r="D18" s="28"/>
      <c r="E18" s="28"/>
      <c r="F18" s="30"/>
      <c r="G18" s="30"/>
      <c r="H18" s="33">
        <f t="shared" si="2"/>
        <v>0</v>
      </c>
      <c r="I18" s="121">
        <f t="shared" si="3"/>
        <v>0</v>
      </c>
      <c r="J18" s="33">
        <f t="shared" si="0"/>
        <v>0</v>
      </c>
      <c r="K18" s="33">
        <f t="shared" si="1"/>
        <v>0</v>
      </c>
      <c r="L18" s="137">
        <f t="shared" si="4"/>
        <v>0</v>
      </c>
      <c r="M18" s="33">
        <f t="shared" si="5"/>
        <v>0</v>
      </c>
      <c r="N18" s="33">
        <f t="shared" si="6"/>
        <v>0</v>
      </c>
      <c r="O18" s="33">
        <f t="shared" si="7"/>
        <v>0</v>
      </c>
      <c r="P18" s="33">
        <f t="shared" si="8"/>
        <v>0</v>
      </c>
      <c r="Q18" s="33">
        <f t="shared" si="9"/>
        <v>0</v>
      </c>
      <c r="R18" s="33">
        <f t="shared" si="10"/>
        <v>0</v>
      </c>
      <c r="S18" s="33">
        <f t="shared" si="11"/>
        <v>0</v>
      </c>
      <c r="T18" s="33">
        <f t="shared" si="12"/>
        <v>0</v>
      </c>
      <c r="U18" s="33">
        <f t="shared" si="13"/>
        <v>0</v>
      </c>
      <c r="V18" s="33">
        <f t="shared" si="14"/>
        <v>0</v>
      </c>
      <c r="W18" s="33">
        <f t="shared" si="15"/>
        <v>0</v>
      </c>
      <c r="X18" s="33">
        <f t="shared" si="16"/>
        <v>0</v>
      </c>
      <c r="Y18" s="33">
        <f t="shared" si="17"/>
        <v>0</v>
      </c>
      <c r="Z18" s="33">
        <f t="shared" si="18"/>
        <v>0</v>
      </c>
      <c r="AA18" s="33">
        <f t="shared" si="19"/>
        <v>0</v>
      </c>
      <c r="AB18" s="33">
        <f t="shared" si="20"/>
        <v>0</v>
      </c>
      <c r="AC18" s="33">
        <f t="shared" si="21"/>
        <v>0</v>
      </c>
      <c r="AD18" s="33">
        <f t="shared" si="22"/>
        <v>0</v>
      </c>
      <c r="AE18" s="33">
        <f t="shared" si="23"/>
        <v>0</v>
      </c>
      <c r="AF18" s="33">
        <f t="shared" si="24"/>
        <v>0</v>
      </c>
      <c r="AG18" s="33">
        <f t="shared" si="25"/>
        <v>0</v>
      </c>
      <c r="AH18" s="33">
        <f t="shared" si="26"/>
        <v>0</v>
      </c>
      <c r="AI18" s="33">
        <f t="shared" si="27"/>
        <v>0</v>
      </c>
      <c r="AJ18" s="33">
        <f t="shared" si="28"/>
        <v>0</v>
      </c>
      <c r="AK18" s="33">
        <f t="shared" si="29"/>
        <v>0</v>
      </c>
      <c r="AL18" s="33">
        <f t="shared" si="29"/>
        <v>0</v>
      </c>
    </row>
    <row r="19" spans="1:38" x14ac:dyDescent="0.2">
      <c r="A19" s="26">
        <v>5</v>
      </c>
      <c r="B19" s="26"/>
      <c r="C19" s="27"/>
      <c r="D19" s="28"/>
      <c r="E19" s="28"/>
      <c r="F19" s="30"/>
      <c r="G19" s="30"/>
      <c r="H19" s="33">
        <f t="shared" si="2"/>
        <v>0</v>
      </c>
      <c r="I19" s="121">
        <f t="shared" si="3"/>
        <v>0</v>
      </c>
      <c r="J19" s="33">
        <f t="shared" si="0"/>
        <v>0</v>
      </c>
      <c r="K19" s="33">
        <f t="shared" si="1"/>
        <v>0</v>
      </c>
      <c r="L19" s="137">
        <f t="shared" si="4"/>
        <v>0</v>
      </c>
      <c r="M19" s="33">
        <f t="shared" si="5"/>
        <v>0</v>
      </c>
      <c r="N19" s="33">
        <f t="shared" si="6"/>
        <v>0</v>
      </c>
      <c r="O19" s="33">
        <f t="shared" si="7"/>
        <v>0</v>
      </c>
      <c r="P19" s="33">
        <f t="shared" si="8"/>
        <v>0</v>
      </c>
      <c r="Q19" s="33">
        <f t="shared" si="9"/>
        <v>0</v>
      </c>
      <c r="R19" s="33">
        <f t="shared" si="10"/>
        <v>0</v>
      </c>
      <c r="S19" s="33">
        <f t="shared" si="11"/>
        <v>0</v>
      </c>
      <c r="T19" s="33">
        <f t="shared" si="12"/>
        <v>0</v>
      </c>
      <c r="U19" s="33">
        <f t="shared" si="13"/>
        <v>0</v>
      </c>
      <c r="V19" s="33">
        <f t="shared" si="14"/>
        <v>0</v>
      </c>
      <c r="W19" s="33">
        <f t="shared" si="15"/>
        <v>0</v>
      </c>
      <c r="X19" s="33">
        <f t="shared" si="16"/>
        <v>0</v>
      </c>
      <c r="Y19" s="33">
        <f t="shared" si="17"/>
        <v>0</v>
      </c>
      <c r="Z19" s="33">
        <f t="shared" si="18"/>
        <v>0</v>
      </c>
      <c r="AA19" s="33">
        <f t="shared" si="19"/>
        <v>0</v>
      </c>
      <c r="AB19" s="33">
        <f t="shared" si="20"/>
        <v>0</v>
      </c>
      <c r="AC19" s="33">
        <f t="shared" si="21"/>
        <v>0</v>
      </c>
      <c r="AD19" s="33">
        <f t="shared" si="22"/>
        <v>0</v>
      </c>
      <c r="AE19" s="33">
        <f t="shared" si="23"/>
        <v>0</v>
      </c>
      <c r="AF19" s="33">
        <f t="shared" si="24"/>
        <v>0</v>
      </c>
      <c r="AG19" s="33">
        <f t="shared" si="25"/>
        <v>0</v>
      </c>
      <c r="AH19" s="33">
        <f t="shared" si="26"/>
        <v>0</v>
      </c>
      <c r="AI19" s="33">
        <f t="shared" si="27"/>
        <v>0</v>
      </c>
      <c r="AJ19" s="33">
        <f t="shared" si="28"/>
        <v>0</v>
      </c>
      <c r="AK19" s="33">
        <f t="shared" si="29"/>
        <v>0</v>
      </c>
      <c r="AL19" s="33">
        <f t="shared" si="29"/>
        <v>0</v>
      </c>
    </row>
    <row r="20" spans="1:38" x14ac:dyDescent="0.2">
      <c r="A20" s="26">
        <v>6</v>
      </c>
      <c r="B20" s="26"/>
      <c r="C20" s="27"/>
      <c r="D20" s="28"/>
      <c r="E20" s="28"/>
      <c r="F20" s="30"/>
      <c r="G20" s="30"/>
      <c r="H20" s="33">
        <f t="shared" si="2"/>
        <v>0</v>
      </c>
      <c r="I20" s="121">
        <f t="shared" si="3"/>
        <v>0</v>
      </c>
      <c r="J20" s="33">
        <f t="shared" si="0"/>
        <v>0</v>
      </c>
      <c r="K20" s="33">
        <f t="shared" si="1"/>
        <v>0</v>
      </c>
      <c r="L20" s="137">
        <f t="shared" si="4"/>
        <v>0</v>
      </c>
      <c r="M20" s="33">
        <f t="shared" si="5"/>
        <v>0</v>
      </c>
      <c r="N20" s="33">
        <f t="shared" si="6"/>
        <v>0</v>
      </c>
      <c r="O20" s="33">
        <f t="shared" si="7"/>
        <v>0</v>
      </c>
      <c r="P20" s="33">
        <f t="shared" si="8"/>
        <v>0</v>
      </c>
      <c r="Q20" s="33">
        <f t="shared" si="9"/>
        <v>0</v>
      </c>
      <c r="R20" s="33">
        <f t="shared" si="10"/>
        <v>0</v>
      </c>
      <c r="S20" s="33">
        <f t="shared" si="11"/>
        <v>0</v>
      </c>
      <c r="T20" s="33">
        <f t="shared" si="12"/>
        <v>0</v>
      </c>
      <c r="U20" s="33">
        <f t="shared" si="13"/>
        <v>0</v>
      </c>
      <c r="V20" s="33">
        <f t="shared" si="14"/>
        <v>0</v>
      </c>
      <c r="W20" s="33">
        <f t="shared" si="15"/>
        <v>0</v>
      </c>
      <c r="X20" s="33">
        <f t="shared" si="16"/>
        <v>0</v>
      </c>
      <c r="Y20" s="33">
        <f t="shared" si="17"/>
        <v>0</v>
      </c>
      <c r="Z20" s="33">
        <f t="shared" si="18"/>
        <v>0</v>
      </c>
      <c r="AA20" s="33">
        <f t="shared" si="19"/>
        <v>0</v>
      </c>
      <c r="AB20" s="33">
        <f t="shared" si="20"/>
        <v>0</v>
      </c>
      <c r="AC20" s="33">
        <f t="shared" si="21"/>
        <v>0</v>
      </c>
      <c r="AD20" s="33">
        <f t="shared" si="22"/>
        <v>0</v>
      </c>
      <c r="AE20" s="33">
        <f t="shared" si="23"/>
        <v>0</v>
      </c>
      <c r="AF20" s="33">
        <f t="shared" si="24"/>
        <v>0</v>
      </c>
      <c r="AG20" s="33">
        <f t="shared" si="25"/>
        <v>0</v>
      </c>
      <c r="AH20" s="33">
        <f t="shared" si="26"/>
        <v>0</v>
      </c>
      <c r="AI20" s="33">
        <f t="shared" si="27"/>
        <v>0</v>
      </c>
      <c r="AJ20" s="33">
        <f t="shared" si="28"/>
        <v>0</v>
      </c>
      <c r="AK20" s="33">
        <f t="shared" si="29"/>
        <v>0</v>
      </c>
      <c r="AL20" s="33">
        <f t="shared" si="29"/>
        <v>0</v>
      </c>
    </row>
    <row r="21" spans="1:38" x14ac:dyDescent="0.2">
      <c r="A21" s="26">
        <v>7</v>
      </c>
      <c r="B21" s="26"/>
      <c r="C21" s="27"/>
      <c r="D21" s="28"/>
      <c r="E21" s="28"/>
      <c r="F21" s="30"/>
      <c r="G21" s="30"/>
      <c r="H21" s="33">
        <f t="shared" si="2"/>
        <v>0</v>
      </c>
      <c r="I21" s="121">
        <f t="shared" si="3"/>
        <v>0</v>
      </c>
      <c r="J21" s="33">
        <f t="shared" si="0"/>
        <v>0</v>
      </c>
      <c r="K21" s="33">
        <f t="shared" si="1"/>
        <v>0</v>
      </c>
      <c r="L21" s="137">
        <f t="shared" si="4"/>
        <v>0</v>
      </c>
      <c r="M21" s="33">
        <f t="shared" si="5"/>
        <v>0</v>
      </c>
      <c r="N21" s="33">
        <f t="shared" si="6"/>
        <v>0</v>
      </c>
      <c r="O21" s="33">
        <f t="shared" si="7"/>
        <v>0</v>
      </c>
      <c r="P21" s="33">
        <f t="shared" si="8"/>
        <v>0</v>
      </c>
      <c r="Q21" s="33">
        <f t="shared" si="9"/>
        <v>0</v>
      </c>
      <c r="R21" s="33">
        <f t="shared" si="10"/>
        <v>0</v>
      </c>
      <c r="S21" s="33">
        <f t="shared" si="11"/>
        <v>0</v>
      </c>
      <c r="T21" s="33">
        <f t="shared" si="12"/>
        <v>0</v>
      </c>
      <c r="U21" s="33">
        <f t="shared" si="13"/>
        <v>0</v>
      </c>
      <c r="V21" s="33">
        <f t="shared" si="14"/>
        <v>0</v>
      </c>
      <c r="W21" s="33">
        <f t="shared" si="15"/>
        <v>0</v>
      </c>
      <c r="X21" s="33">
        <f t="shared" si="16"/>
        <v>0</v>
      </c>
      <c r="Y21" s="33">
        <f t="shared" si="17"/>
        <v>0</v>
      </c>
      <c r="Z21" s="33">
        <f t="shared" si="18"/>
        <v>0</v>
      </c>
      <c r="AA21" s="33">
        <f t="shared" si="19"/>
        <v>0</v>
      </c>
      <c r="AB21" s="33">
        <f t="shared" si="20"/>
        <v>0</v>
      </c>
      <c r="AC21" s="33">
        <f t="shared" si="21"/>
        <v>0</v>
      </c>
      <c r="AD21" s="33">
        <f t="shared" si="22"/>
        <v>0</v>
      </c>
      <c r="AE21" s="33">
        <f t="shared" si="23"/>
        <v>0</v>
      </c>
      <c r="AF21" s="33">
        <f t="shared" si="24"/>
        <v>0</v>
      </c>
      <c r="AG21" s="33">
        <f t="shared" si="25"/>
        <v>0</v>
      </c>
      <c r="AH21" s="33">
        <f t="shared" si="26"/>
        <v>0</v>
      </c>
      <c r="AI21" s="33">
        <f t="shared" si="27"/>
        <v>0</v>
      </c>
      <c r="AJ21" s="33">
        <f t="shared" si="28"/>
        <v>0</v>
      </c>
      <c r="AK21" s="33">
        <f t="shared" si="29"/>
        <v>0</v>
      </c>
      <c r="AL21" s="33">
        <f t="shared" si="29"/>
        <v>0</v>
      </c>
    </row>
    <row r="22" spans="1:38" x14ac:dyDescent="0.2">
      <c r="A22" s="26">
        <v>8</v>
      </c>
      <c r="B22" s="26"/>
      <c r="C22" s="27"/>
      <c r="D22" s="28"/>
      <c r="E22" s="28"/>
      <c r="F22" s="30"/>
      <c r="G22" s="30"/>
      <c r="H22" s="33">
        <f t="shared" si="2"/>
        <v>0</v>
      </c>
      <c r="I22" s="121">
        <f t="shared" si="3"/>
        <v>0</v>
      </c>
      <c r="J22" s="33">
        <f t="shared" si="0"/>
        <v>0</v>
      </c>
      <c r="K22" s="33">
        <f t="shared" si="1"/>
        <v>0</v>
      </c>
      <c r="L22" s="137">
        <f t="shared" si="4"/>
        <v>0</v>
      </c>
      <c r="M22" s="33">
        <f t="shared" si="5"/>
        <v>0</v>
      </c>
      <c r="N22" s="33">
        <f t="shared" si="6"/>
        <v>0</v>
      </c>
      <c r="O22" s="33">
        <f t="shared" si="7"/>
        <v>0</v>
      </c>
      <c r="P22" s="33">
        <f t="shared" si="8"/>
        <v>0</v>
      </c>
      <c r="Q22" s="33">
        <f t="shared" si="9"/>
        <v>0</v>
      </c>
      <c r="R22" s="33">
        <f t="shared" si="10"/>
        <v>0</v>
      </c>
      <c r="S22" s="33">
        <f t="shared" si="11"/>
        <v>0</v>
      </c>
      <c r="T22" s="33">
        <f t="shared" si="12"/>
        <v>0</v>
      </c>
      <c r="U22" s="33">
        <f t="shared" si="13"/>
        <v>0</v>
      </c>
      <c r="V22" s="33">
        <f t="shared" si="14"/>
        <v>0</v>
      </c>
      <c r="W22" s="33">
        <f t="shared" si="15"/>
        <v>0</v>
      </c>
      <c r="X22" s="33">
        <f t="shared" si="16"/>
        <v>0</v>
      </c>
      <c r="Y22" s="33">
        <f t="shared" si="17"/>
        <v>0</v>
      </c>
      <c r="Z22" s="33">
        <f t="shared" si="18"/>
        <v>0</v>
      </c>
      <c r="AA22" s="33">
        <f t="shared" si="19"/>
        <v>0</v>
      </c>
      <c r="AB22" s="33">
        <f t="shared" si="20"/>
        <v>0</v>
      </c>
      <c r="AC22" s="33">
        <f t="shared" si="21"/>
        <v>0</v>
      </c>
      <c r="AD22" s="33">
        <f t="shared" si="22"/>
        <v>0</v>
      </c>
      <c r="AE22" s="33">
        <f t="shared" si="23"/>
        <v>0</v>
      </c>
      <c r="AF22" s="33">
        <f t="shared" si="24"/>
        <v>0</v>
      </c>
      <c r="AG22" s="33">
        <f t="shared" si="25"/>
        <v>0</v>
      </c>
      <c r="AH22" s="33">
        <f t="shared" si="26"/>
        <v>0</v>
      </c>
      <c r="AI22" s="33">
        <f t="shared" si="27"/>
        <v>0</v>
      </c>
      <c r="AJ22" s="33">
        <f t="shared" si="28"/>
        <v>0</v>
      </c>
      <c r="AK22" s="33">
        <f t="shared" si="29"/>
        <v>0</v>
      </c>
      <c r="AL22" s="33">
        <f t="shared" si="29"/>
        <v>0</v>
      </c>
    </row>
    <row r="23" spans="1:38" x14ac:dyDescent="0.2">
      <c r="A23" s="26">
        <v>9</v>
      </c>
      <c r="B23" s="26"/>
      <c r="C23" s="27"/>
      <c r="D23" s="28"/>
      <c r="E23" s="28"/>
      <c r="F23" s="30"/>
      <c r="G23" s="30"/>
      <c r="H23" s="33">
        <f t="shared" si="2"/>
        <v>0</v>
      </c>
      <c r="I23" s="121">
        <f t="shared" si="3"/>
        <v>0</v>
      </c>
      <c r="J23" s="33">
        <f t="shared" si="0"/>
        <v>0</v>
      </c>
      <c r="K23" s="33">
        <f t="shared" si="1"/>
        <v>0</v>
      </c>
      <c r="L23" s="137">
        <f t="shared" si="4"/>
        <v>0</v>
      </c>
      <c r="M23" s="33">
        <f t="shared" si="5"/>
        <v>0</v>
      </c>
      <c r="N23" s="33">
        <f t="shared" si="6"/>
        <v>0</v>
      </c>
      <c r="O23" s="33">
        <f t="shared" si="7"/>
        <v>0</v>
      </c>
      <c r="P23" s="33">
        <f t="shared" si="8"/>
        <v>0</v>
      </c>
      <c r="Q23" s="33">
        <f t="shared" si="9"/>
        <v>0</v>
      </c>
      <c r="R23" s="33">
        <f t="shared" si="10"/>
        <v>0</v>
      </c>
      <c r="S23" s="33">
        <f t="shared" si="11"/>
        <v>0</v>
      </c>
      <c r="T23" s="33">
        <f t="shared" si="12"/>
        <v>0</v>
      </c>
      <c r="U23" s="33">
        <f t="shared" si="13"/>
        <v>0</v>
      </c>
      <c r="V23" s="33">
        <f t="shared" si="14"/>
        <v>0</v>
      </c>
      <c r="W23" s="33">
        <f t="shared" si="15"/>
        <v>0</v>
      </c>
      <c r="X23" s="33">
        <f t="shared" si="16"/>
        <v>0</v>
      </c>
      <c r="Y23" s="33">
        <f t="shared" si="17"/>
        <v>0</v>
      </c>
      <c r="Z23" s="33">
        <f t="shared" si="18"/>
        <v>0</v>
      </c>
      <c r="AA23" s="33">
        <f t="shared" si="19"/>
        <v>0</v>
      </c>
      <c r="AB23" s="33">
        <f t="shared" si="20"/>
        <v>0</v>
      </c>
      <c r="AC23" s="33">
        <f t="shared" si="21"/>
        <v>0</v>
      </c>
      <c r="AD23" s="33">
        <f t="shared" si="22"/>
        <v>0</v>
      </c>
      <c r="AE23" s="33">
        <f t="shared" si="23"/>
        <v>0</v>
      </c>
      <c r="AF23" s="33">
        <f t="shared" si="24"/>
        <v>0</v>
      </c>
      <c r="AG23" s="33">
        <f t="shared" si="25"/>
        <v>0</v>
      </c>
      <c r="AH23" s="33">
        <f t="shared" si="26"/>
        <v>0</v>
      </c>
      <c r="AI23" s="33">
        <f t="shared" si="27"/>
        <v>0</v>
      </c>
      <c r="AJ23" s="33">
        <f t="shared" si="28"/>
        <v>0</v>
      </c>
      <c r="AK23" s="33">
        <f t="shared" si="29"/>
        <v>0</v>
      </c>
      <c r="AL23" s="33">
        <f t="shared" si="29"/>
        <v>0</v>
      </c>
    </row>
    <row r="24" spans="1:38" x14ac:dyDescent="0.2">
      <c r="A24" s="26">
        <v>10</v>
      </c>
      <c r="B24" s="26"/>
      <c r="C24" s="27"/>
      <c r="D24" s="28"/>
      <c r="E24" s="28"/>
      <c r="F24" s="30"/>
      <c r="G24" s="30"/>
      <c r="H24" s="33">
        <f t="shared" si="2"/>
        <v>0</v>
      </c>
      <c r="I24" s="121">
        <f t="shared" si="3"/>
        <v>0</v>
      </c>
      <c r="J24" s="33">
        <f t="shared" si="0"/>
        <v>0</v>
      </c>
      <c r="K24" s="33">
        <f t="shared" si="1"/>
        <v>0</v>
      </c>
      <c r="L24" s="137">
        <f t="shared" si="4"/>
        <v>0</v>
      </c>
      <c r="M24" s="33">
        <f t="shared" si="5"/>
        <v>0</v>
      </c>
      <c r="N24" s="33">
        <f t="shared" si="6"/>
        <v>0</v>
      </c>
      <c r="O24" s="33">
        <f t="shared" si="7"/>
        <v>0</v>
      </c>
      <c r="P24" s="33">
        <f t="shared" si="8"/>
        <v>0</v>
      </c>
      <c r="Q24" s="33">
        <f t="shared" si="9"/>
        <v>0</v>
      </c>
      <c r="R24" s="33">
        <f t="shared" si="10"/>
        <v>0</v>
      </c>
      <c r="S24" s="33">
        <f t="shared" si="11"/>
        <v>0</v>
      </c>
      <c r="T24" s="33">
        <f t="shared" si="12"/>
        <v>0</v>
      </c>
      <c r="U24" s="33">
        <f t="shared" si="13"/>
        <v>0</v>
      </c>
      <c r="V24" s="33">
        <f t="shared" si="14"/>
        <v>0</v>
      </c>
      <c r="W24" s="33">
        <f t="shared" si="15"/>
        <v>0</v>
      </c>
      <c r="X24" s="33">
        <f t="shared" si="16"/>
        <v>0</v>
      </c>
      <c r="Y24" s="33">
        <f t="shared" si="17"/>
        <v>0</v>
      </c>
      <c r="Z24" s="33">
        <f t="shared" si="18"/>
        <v>0</v>
      </c>
      <c r="AA24" s="33">
        <f t="shared" si="19"/>
        <v>0</v>
      </c>
      <c r="AB24" s="33">
        <f t="shared" si="20"/>
        <v>0</v>
      </c>
      <c r="AC24" s="33">
        <f t="shared" si="21"/>
        <v>0</v>
      </c>
      <c r="AD24" s="33">
        <f t="shared" si="22"/>
        <v>0</v>
      </c>
      <c r="AE24" s="33">
        <f t="shared" si="23"/>
        <v>0</v>
      </c>
      <c r="AF24" s="33">
        <f t="shared" si="24"/>
        <v>0</v>
      </c>
      <c r="AG24" s="33">
        <f t="shared" si="25"/>
        <v>0</v>
      </c>
      <c r="AH24" s="33">
        <f t="shared" si="26"/>
        <v>0</v>
      </c>
      <c r="AI24" s="33">
        <f t="shared" si="27"/>
        <v>0</v>
      </c>
      <c r="AJ24" s="33">
        <f t="shared" si="28"/>
        <v>0</v>
      </c>
      <c r="AK24" s="33">
        <f t="shared" si="29"/>
        <v>0</v>
      </c>
      <c r="AL24" s="33">
        <f t="shared" si="29"/>
        <v>0</v>
      </c>
    </row>
    <row r="25" spans="1:38" x14ac:dyDescent="0.2">
      <c r="A25" s="26">
        <v>11</v>
      </c>
      <c r="B25" s="26"/>
      <c r="C25" s="27"/>
      <c r="D25" s="28"/>
      <c r="E25" s="28"/>
      <c r="F25" s="30"/>
      <c r="G25" s="30"/>
      <c r="H25" s="33">
        <f t="shared" si="2"/>
        <v>0</v>
      </c>
      <c r="I25" s="121">
        <f t="shared" si="3"/>
        <v>0</v>
      </c>
      <c r="J25" s="33">
        <f t="shared" si="0"/>
        <v>0</v>
      </c>
      <c r="K25" s="33">
        <f t="shared" si="1"/>
        <v>0</v>
      </c>
      <c r="L25" s="137">
        <f t="shared" si="4"/>
        <v>0</v>
      </c>
      <c r="M25" s="33">
        <f t="shared" si="5"/>
        <v>0</v>
      </c>
      <c r="N25" s="33">
        <f t="shared" si="6"/>
        <v>0</v>
      </c>
      <c r="O25" s="33">
        <f t="shared" si="7"/>
        <v>0</v>
      </c>
      <c r="P25" s="33">
        <f t="shared" si="8"/>
        <v>0</v>
      </c>
      <c r="Q25" s="33">
        <f t="shared" si="9"/>
        <v>0</v>
      </c>
      <c r="R25" s="33">
        <f t="shared" si="10"/>
        <v>0</v>
      </c>
      <c r="S25" s="33">
        <f t="shared" si="11"/>
        <v>0</v>
      </c>
      <c r="T25" s="33">
        <f t="shared" si="12"/>
        <v>0</v>
      </c>
      <c r="U25" s="33">
        <f t="shared" si="13"/>
        <v>0</v>
      </c>
      <c r="V25" s="33">
        <f t="shared" si="14"/>
        <v>0</v>
      </c>
      <c r="W25" s="33">
        <f t="shared" si="15"/>
        <v>0</v>
      </c>
      <c r="X25" s="33">
        <f t="shared" si="16"/>
        <v>0</v>
      </c>
      <c r="Y25" s="33">
        <f t="shared" si="17"/>
        <v>0</v>
      </c>
      <c r="Z25" s="33">
        <f t="shared" si="18"/>
        <v>0</v>
      </c>
      <c r="AA25" s="33">
        <f t="shared" si="19"/>
        <v>0</v>
      </c>
      <c r="AB25" s="33">
        <f t="shared" si="20"/>
        <v>0</v>
      </c>
      <c r="AC25" s="33">
        <f t="shared" si="21"/>
        <v>0</v>
      </c>
      <c r="AD25" s="33">
        <f t="shared" si="22"/>
        <v>0</v>
      </c>
      <c r="AE25" s="33">
        <f t="shared" si="23"/>
        <v>0</v>
      </c>
      <c r="AF25" s="33">
        <f t="shared" si="24"/>
        <v>0</v>
      </c>
      <c r="AG25" s="33">
        <f t="shared" si="25"/>
        <v>0</v>
      </c>
      <c r="AH25" s="33">
        <f t="shared" si="26"/>
        <v>0</v>
      </c>
      <c r="AI25" s="33">
        <f t="shared" si="27"/>
        <v>0</v>
      </c>
      <c r="AJ25" s="33">
        <f t="shared" si="28"/>
        <v>0</v>
      </c>
      <c r="AK25" s="33">
        <f t="shared" si="29"/>
        <v>0</v>
      </c>
      <c r="AL25" s="33">
        <f t="shared" si="29"/>
        <v>0</v>
      </c>
    </row>
    <row r="26" spans="1:38" x14ac:dyDescent="0.2">
      <c r="A26" s="26">
        <v>12</v>
      </c>
      <c r="B26" s="26"/>
      <c r="C26" s="27"/>
      <c r="D26" s="28"/>
      <c r="E26" s="28"/>
      <c r="F26" s="30"/>
      <c r="G26" s="30"/>
      <c r="H26" s="33">
        <f t="shared" si="2"/>
        <v>0</v>
      </c>
      <c r="I26" s="121">
        <f t="shared" si="3"/>
        <v>0</v>
      </c>
      <c r="J26" s="33">
        <f t="shared" si="0"/>
        <v>0</v>
      </c>
      <c r="K26" s="33">
        <f t="shared" si="1"/>
        <v>0</v>
      </c>
      <c r="L26" s="137">
        <f t="shared" si="4"/>
        <v>0</v>
      </c>
      <c r="M26" s="33">
        <f t="shared" si="5"/>
        <v>0</v>
      </c>
      <c r="N26" s="33">
        <f t="shared" si="6"/>
        <v>0</v>
      </c>
      <c r="O26" s="33">
        <f t="shared" si="7"/>
        <v>0</v>
      </c>
      <c r="P26" s="33">
        <f t="shared" si="8"/>
        <v>0</v>
      </c>
      <c r="Q26" s="33">
        <f t="shared" si="9"/>
        <v>0</v>
      </c>
      <c r="R26" s="33">
        <f t="shared" si="10"/>
        <v>0</v>
      </c>
      <c r="S26" s="33">
        <f t="shared" si="11"/>
        <v>0</v>
      </c>
      <c r="T26" s="33">
        <f t="shared" si="12"/>
        <v>0</v>
      </c>
      <c r="U26" s="33">
        <f t="shared" si="13"/>
        <v>0</v>
      </c>
      <c r="V26" s="33">
        <f t="shared" si="14"/>
        <v>0</v>
      </c>
      <c r="W26" s="33">
        <f t="shared" si="15"/>
        <v>0</v>
      </c>
      <c r="X26" s="33">
        <f t="shared" si="16"/>
        <v>0</v>
      </c>
      <c r="Y26" s="33">
        <f t="shared" si="17"/>
        <v>0</v>
      </c>
      <c r="Z26" s="33">
        <f t="shared" si="18"/>
        <v>0</v>
      </c>
      <c r="AA26" s="33">
        <f t="shared" si="19"/>
        <v>0</v>
      </c>
      <c r="AB26" s="33">
        <f t="shared" si="20"/>
        <v>0</v>
      </c>
      <c r="AC26" s="33">
        <f t="shared" si="21"/>
        <v>0</v>
      </c>
      <c r="AD26" s="33">
        <f t="shared" si="22"/>
        <v>0</v>
      </c>
      <c r="AE26" s="33">
        <f t="shared" si="23"/>
        <v>0</v>
      </c>
      <c r="AF26" s="33">
        <f t="shared" si="24"/>
        <v>0</v>
      </c>
      <c r="AG26" s="33">
        <f t="shared" si="25"/>
        <v>0</v>
      </c>
      <c r="AH26" s="33">
        <f t="shared" si="26"/>
        <v>0</v>
      </c>
      <c r="AI26" s="33">
        <f t="shared" si="27"/>
        <v>0</v>
      </c>
      <c r="AJ26" s="33">
        <f t="shared" si="28"/>
        <v>0</v>
      </c>
      <c r="AK26" s="33">
        <f t="shared" si="29"/>
        <v>0</v>
      </c>
      <c r="AL26" s="33">
        <f t="shared" si="29"/>
        <v>0</v>
      </c>
    </row>
    <row r="27" spans="1:38" s="122" customFormat="1" x14ac:dyDescent="0.2">
      <c r="A27" s="402" t="s">
        <v>72</v>
      </c>
      <c r="B27" s="403"/>
      <c r="C27" s="136"/>
      <c r="D27" s="136"/>
      <c r="E27" s="136"/>
      <c r="F27" s="120">
        <f>SUM(F15:F26)</f>
        <v>1500000</v>
      </c>
      <c r="G27" s="120">
        <f>SUM(G15:G26)</f>
        <v>0</v>
      </c>
      <c r="H27" s="120">
        <f>SUM(H15:H26)</f>
        <v>1500000</v>
      </c>
      <c r="I27" s="113"/>
      <c r="J27" s="120">
        <f>SUM(J15:J26)</f>
        <v>0</v>
      </c>
      <c r="K27" s="120">
        <f>SUM(K15:K26)</f>
        <v>225000</v>
      </c>
      <c r="L27" s="113"/>
      <c r="M27" s="120">
        <f t="shared" ref="M27:X27" si="30">SUM(M15:M26)</f>
        <v>0</v>
      </c>
      <c r="N27" s="120">
        <f t="shared" si="30"/>
        <v>0</v>
      </c>
      <c r="O27" s="120">
        <f t="shared" si="30"/>
        <v>0</v>
      </c>
      <c r="P27" s="120">
        <f t="shared" si="30"/>
        <v>225000</v>
      </c>
      <c r="Q27" s="120">
        <f t="shared" si="30"/>
        <v>0</v>
      </c>
      <c r="R27" s="120">
        <f t="shared" si="30"/>
        <v>0</v>
      </c>
      <c r="S27" s="120">
        <f t="shared" si="30"/>
        <v>0</v>
      </c>
      <c r="T27" s="120">
        <f t="shared" si="30"/>
        <v>0</v>
      </c>
      <c r="U27" s="120">
        <f t="shared" si="30"/>
        <v>0</v>
      </c>
      <c r="V27" s="120">
        <f t="shared" si="30"/>
        <v>0</v>
      </c>
      <c r="W27" s="120">
        <f t="shared" si="30"/>
        <v>0</v>
      </c>
      <c r="X27" s="120">
        <f t="shared" si="30"/>
        <v>0</v>
      </c>
      <c r="Y27" s="33">
        <f>SUM(Y15:Y26)</f>
        <v>0</v>
      </c>
      <c r="Z27" s="33">
        <f t="shared" ref="Z27" si="31">SUM(Z15:Z26)</f>
        <v>0</v>
      </c>
      <c r="AA27" s="33">
        <f>SUM(AA15:AA26)</f>
        <v>0</v>
      </c>
      <c r="AB27" s="33">
        <f t="shared" ref="AB27" si="32">SUM(AB15:AB26)</f>
        <v>1500000</v>
      </c>
      <c r="AC27" s="33">
        <f>SUM(AC15:AC26)</f>
        <v>0</v>
      </c>
      <c r="AD27" s="33">
        <f t="shared" ref="AD27" si="33">SUM(AD15:AD26)</f>
        <v>0</v>
      </c>
      <c r="AE27" s="33">
        <f>SUM(AE15:AE26)</f>
        <v>0</v>
      </c>
      <c r="AF27" s="33">
        <f t="shared" ref="AF27" si="34">SUM(AF15:AF26)</f>
        <v>0</v>
      </c>
      <c r="AG27" s="33">
        <f>SUM(AG15:AG26)</f>
        <v>0</v>
      </c>
      <c r="AH27" s="33">
        <f t="shared" ref="AH27" si="35">SUM(AH15:AH26)</f>
        <v>0</v>
      </c>
      <c r="AI27" s="33">
        <f>SUM(AI15:AI26)</f>
        <v>0</v>
      </c>
      <c r="AJ27" s="33">
        <f t="shared" ref="AJ27:AL27" si="36">SUM(AJ15:AJ26)</f>
        <v>0</v>
      </c>
      <c r="AK27" s="33">
        <f>SUM(AK15:AK26)</f>
        <v>0</v>
      </c>
      <c r="AL27" s="33">
        <f t="shared" si="36"/>
        <v>1500000</v>
      </c>
    </row>
    <row r="28" spans="1:38" x14ac:dyDescent="0.2">
      <c r="A28" s="22"/>
      <c r="B28" s="22"/>
      <c r="C28" s="22"/>
      <c r="D28" s="22"/>
      <c r="E28" s="22"/>
      <c r="F28" s="22"/>
    </row>
    <row r="29" spans="1:38" x14ac:dyDescent="0.2">
      <c r="A29" s="36" t="s">
        <v>62</v>
      </c>
    </row>
    <row r="31" spans="1:38" x14ac:dyDescent="0.2">
      <c r="A31" s="22"/>
      <c r="B31" s="22"/>
      <c r="C31" s="22"/>
      <c r="D31" s="22"/>
      <c r="E31" s="22"/>
      <c r="F31" s="22"/>
    </row>
    <row r="32" spans="1:38" x14ac:dyDescent="0.2">
      <c r="A32" s="36" t="s">
        <v>63</v>
      </c>
    </row>
    <row r="34" spans="1:6" x14ac:dyDescent="0.2">
      <c r="A34" s="22"/>
      <c r="B34" s="22"/>
      <c r="C34" s="22"/>
      <c r="D34" s="22"/>
      <c r="E34" s="22"/>
      <c r="F34" s="22"/>
    </row>
    <row r="35" spans="1:6" x14ac:dyDescent="0.2">
      <c r="A35" s="36" t="s">
        <v>73</v>
      </c>
    </row>
    <row r="37" spans="1:6" x14ac:dyDescent="0.2">
      <c r="A37" s="22"/>
      <c r="B37" s="22"/>
      <c r="C37" s="22"/>
      <c r="D37" s="22"/>
      <c r="E37" s="25"/>
    </row>
    <row r="38" spans="1:6" x14ac:dyDescent="0.2">
      <c r="A38" s="36" t="s">
        <v>64</v>
      </c>
    </row>
    <row r="39" spans="1:6" x14ac:dyDescent="0.2">
      <c r="A39" s="25"/>
      <c r="B39" s="25"/>
      <c r="C39" s="25"/>
      <c r="D39" s="25"/>
      <c r="E39" s="25"/>
      <c r="F39" s="25"/>
    </row>
  </sheetData>
  <mergeCells count="15">
    <mergeCell ref="A10:H10"/>
    <mergeCell ref="M14:N14"/>
    <mergeCell ref="O14:P14"/>
    <mergeCell ref="Q14:R14"/>
    <mergeCell ref="S14:T14"/>
    <mergeCell ref="AG14:AH14"/>
    <mergeCell ref="AI14:AJ14"/>
    <mergeCell ref="AK14:AL14"/>
    <mergeCell ref="W14:X14"/>
    <mergeCell ref="A27:B27"/>
    <mergeCell ref="Y14:Z14"/>
    <mergeCell ref="AA14:AB14"/>
    <mergeCell ref="AC14:AD14"/>
    <mergeCell ref="AE14:AF14"/>
    <mergeCell ref="U14:V14"/>
  </mergeCells>
  <pageMargins left="0.7" right="0.7" top="0.75" bottom="0.75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39"/>
  <sheetViews>
    <sheetView topLeftCell="A13" workbookViewId="0">
      <pane xSplit="2" ySplit="1" topLeftCell="C14" activePane="bottomRight" state="frozen"/>
      <selection activeCell="A13" sqref="A13"/>
      <selection pane="topRight" activeCell="C13" sqref="C13"/>
      <selection pane="bottomLeft" activeCell="A14" sqref="A14"/>
      <selection pane="bottomRight" activeCell="D14" sqref="D14"/>
    </sheetView>
  </sheetViews>
  <sheetFormatPr defaultColWidth="8.7109375" defaultRowHeight="12.75" x14ac:dyDescent="0.2"/>
  <cols>
    <col min="1" max="1" width="5.85546875" style="16" customWidth="1"/>
    <col min="2" max="2" width="30.28515625" style="16" customWidth="1"/>
    <col min="3" max="3" width="19" style="16" customWidth="1"/>
    <col min="4" max="4" width="14.5703125" style="16" customWidth="1"/>
    <col min="5" max="5" width="15.5703125" style="16" customWidth="1"/>
    <col min="6" max="8" width="11.7109375" style="16" customWidth="1"/>
    <col min="9" max="9" width="13.140625" style="16" bestFit="1" customWidth="1"/>
    <col min="10" max="10" width="13.5703125" style="16" customWidth="1"/>
    <col min="11" max="11" width="11.42578125" style="16" customWidth="1"/>
    <col min="12" max="12" width="12.85546875" style="16" customWidth="1"/>
    <col min="13" max="13" width="13.140625" style="16" customWidth="1"/>
    <col min="14" max="14" width="12.85546875" style="16" customWidth="1"/>
    <col min="15" max="16" width="12.5703125" style="16" customWidth="1"/>
    <col min="17" max="17" width="10.42578125" style="16" customWidth="1"/>
    <col min="18" max="18" width="13.7109375" style="16" customWidth="1"/>
    <col min="19" max="19" width="15.42578125" style="16" customWidth="1"/>
    <col min="20" max="20" width="16" style="16" customWidth="1"/>
    <col min="21" max="21" width="16.7109375" style="16" customWidth="1"/>
    <col min="22" max="22" width="13" style="16" customWidth="1"/>
    <col min="23" max="25" width="13.28515625" style="16" customWidth="1"/>
    <col min="26" max="26" width="14" style="16" customWidth="1"/>
    <col min="27" max="29" width="12" style="16" customWidth="1"/>
    <col min="30" max="30" width="13.140625" style="16" bestFit="1" customWidth="1"/>
    <col min="31" max="31" width="13.7109375" style="16" customWidth="1"/>
    <col min="32" max="32" width="14.140625" style="16" customWidth="1"/>
    <col min="33" max="16384" width="8.7109375" style="16"/>
  </cols>
  <sheetData>
    <row r="1" spans="1:32" x14ac:dyDescent="0.2">
      <c r="M1" s="18"/>
      <c r="N1" s="18"/>
      <c r="V1" s="17" t="s">
        <v>14</v>
      </c>
    </row>
    <row r="2" spans="1:32" x14ac:dyDescent="0.2">
      <c r="A2" s="20"/>
      <c r="B2" s="20"/>
      <c r="C2" s="20"/>
      <c r="D2" s="20"/>
      <c r="E2" s="20"/>
      <c r="F2" s="20"/>
      <c r="G2" s="20"/>
    </row>
    <row r="3" spans="1:32" x14ac:dyDescent="0.2">
      <c r="A3" s="20"/>
      <c r="B3" s="20"/>
      <c r="C3" s="20"/>
      <c r="D3" s="20"/>
      <c r="E3" s="20"/>
      <c r="F3" s="20"/>
      <c r="G3" s="20"/>
    </row>
    <row r="4" spans="1:32" x14ac:dyDescent="0.2">
      <c r="A4" s="21" t="s">
        <v>67</v>
      </c>
      <c r="B4" s="22"/>
      <c r="C4" s="22"/>
      <c r="D4" s="21"/>
      <c r="E4" s="21"/>
      <c r="F4" s="106"/>
      <c r="G4" s="106"/>
    </row>
    <row r="6" spans="1:32" x14ac:dyDescent="0.2">
      <c r="A6" s="16">
        <v>1</v>
      </c>
      <c r="B6" s="21" t="s">
        <v>68</v>
      </c>
      <c r="C6" s="21"/>
      <c r="D6" s="21"/>
      <c r="E6" s="21"/>
      <c r="F6" s="106"/>
      <c r="G6" s="106"/>
    </row>
    <row r="7" spans="1:32" x14ac:dyDescent="0.2">
      <c r="A7" s="16">
        <v>2</v>
      </c>
      <c r="B7" s="23" t="s">
        <v>15</v>
      </c>
      <c r="C7" s="23"/>
      <c r="D7" s="23"/>
      <c r="E7" s="24">
        <f>'910.00'!D8</f>
        <v>111111111111</v>
      </c>
      <c r="F7" s="118"/>
      <c r="G7" s="118"/>
    </row>
    <row r="8" spans="1:32" x14ac:dyDescent="0.2">
      <c r="A8" s="16">
        <v>3</v>
      </c>
      <c r="B8" s="21" t="s">
        <v>90</v>
      </c>
      <c r="C8" s="21"/>
      <c r="D8" s="21"/>
      <c r="E8" s="21"/>
      <c r="F8" s="106"/>
      <c r="G8" s="106"/>
      <c r="H8" s="16">
        <f>'910.00'!O12</f>
        <v>2021</v>
      </c>
    </row>
    <row r="9" spans="1:32" x14ac:dyDescent="0.2">
      <c r="A9" s="25"/>
      <c r="B9" s="25"/>
      <c r="C9" s="25"/>
      <c r="D9" s="25"/>
      <c r="E9" s="25"/>
      <c r="F9" s="25"/>
      <c r="G9" s="25"/>
    </row>
    <row r="10" spans="1:32" ht="43.5" customHeight="1" x14ac:dyDescent="0.2">
      <c r="A10" s="401" t="s">
        <v>163</v>
      </c>
      <c r="B10" s="401"/>
      <c r="C10" s="401"/>
      <c r="D10" s="401"/>
      <c r="E10" s="401"/>
      <c r="F10" s="401"/>
      <c r="G10" s="401"/>
      <c r="H10" s="401"/>
    </row>
    <row r="11" spans="1:32" x14ac:dyDescent="0.2">
      <c r="A11" s="25"/>
      <c r="B11" s="25"/>
      <c r="C11" s="25"/>
      <c r="D11" s="25"/>
      <c r="E11" s="25"/>
      <c r="F11" s="25"/>
      <c r="G11" s="25"/>
    </row>
    <row r="12" spans="1:32" x14ac:dyDescent="0.2">
      <c r="A12" s="25"/>
      <c r="B12" s="25"/>
      <c r="C12" s="25"/>
      <c r="D12" s="25"/>
      <c r="E12" s="25"/>
      <c r="F12" s="25"/>
      <c r="G12" s="25"/>
    </row>
    <row r="13" spans="1:32" ht="127.5" x14ac:dyDescent="0.2">
      <c r="A13" s="13" t="s">
        <v>69</v>
      </c>
      <c r="B13" s="13" t="s">
        <v>133</v>
      </c>
      <c r="C13" s="13" t="s">
        <v>376</v>
      </c>
      <c r="D13" s="13" t="s">
        <v>71</v>
      </c>
      <c r="E13" s="13" t="s">
        <v>196</v>
      </c>
      <c r="F13" s="13" t="s">
        <v>195</v>
      </c>
      <c r="G13" s="13" t="s">
        <v>261</v>
      </c>
      <c r="H13" s="13" t="s">
        <v>194</v>
      </c>
      <c r="I13" s="13" t="s">
        <v>259</v>
      </c>
      <c r="J13" s="13" t="s">
        <v>74</v>
      </c>
      <c r="K13" s="13" t="s">
        <v>129</v>
      </c>
      <c r="L13" s="13" t="s">
        <v>130</v>
      </c>
      <c r="M13" s="13" t="s">
        <v>75</v>
      </c>
      <c r="N13" s="13" t="s">
        <v>76</v>
      </c>
      <c r="O13" s="13"/>
      <c r="P13" s="13" t="s">
        <v>77</v>
      </c>
      <c r="Q13" s="13" t="s">
        <v>78</v>
      </c>
      <c r="R13" s="13" t="s">
        <v>79</v>
      </c>
      <c r="S13" s="13" t="s">
        <v>190</v>
      </c>
      <c r="T13" s="13" t="s">
        <v>81</v>
      </c>
      <c r="U13" s="13" t="s">
        <v>264</v>
      </c>
      <c r="V13" s="13" t="s">
        <v>92</v>
      </c>
      <c r="W13" s="13"/>
      <c r="X13" s="14"/>
      <c r="Y13" s="13"/>
      <c r="Z13" s="13" t="s">
        <v>176</v>
      </c>
      <c r="AA13" s="13" t="s">
        <v>119</v>
      </c>
      <c r="AB13" s="13" t="s">
        <v>121</v>
      </c>
      <c r="AC13" s="13" t="s">
        <v>191</v>
      </c>
      <c r="AD13" s="13"/>
      <c r="AE13" s="13" t="s">
        <v>254</v>
      </c>
      <c r="AF13" s="13" t="s">
        <v>255</v>
      </c>
    </row>
    <row r="14" spans="1:32" x14ac:dyDescent="0.2">
      <c r="A14" s="26">
        <v>1</v>
      </c>
      <c r="B14" s="26" t="s">
        <v>371</v>
      </c>
      <c r="C14" s="28">
        <v>1</v>
      </c>
      <c r="D14" s="29">
        <f>SUMIF('2.1'!B$14:B$25,свод!B14,'2.1'!D$14:D$25)+SUMIF('2.2'!B$14:B$25,свод!B14,'2.2'!D$14:D$25)+SUMIF('2.3'!B$14:B$25,свод!B14,'2.3'!D$14:D$25)+SUMIF('2.4'!B$14:B$25,свод!B14,'2.4'!D$14:D$25)+SUMIF('2.5'!B$14:B$25,свод!B14,'2.5'!D$14:D$25)+SUMIF('2.6'!B$14:B$25,свод!B14,'2.6'!D$14:D$25)+SUMIF('3гпх'!B$15:B$26,свод!B14,'3гпх'!E$15:E$26)+SUMIF(дивид!B$15:B$26,свод!B14,дивид!F$15:F$26)</f>
        <v>750000</v>
      </c>
      <c r="E14" s="29">
        <f>SUMIF('2.1'!B$14:B$25,свод!B14,'2.1'!E$14:E$25)+SUMIF('2.2'!B$14:B$25,свод!B14,'2.2'!E$14:E$25)+SUMIF('2.3'!B$14:B$25,свод!B14,'2.3'!E$14:E$25)+SUMIF('2.4'!B$14:B$25,свод!B14,'2.4'!E$14:E$25)+SUMIF('2.5'!B$14:B$25,свод!B14,'2.5'!E$14:E$25)+SUMIF('2.6'!B$14:B$25,свод!B14,'2.6'!E$14:E$25)</f>
        <v>127500</v>
      </c>
      <c r="F14" s="29">
        <f>SUMIF('2.1'!B$14:B$25,свод!B14,'2.1'!AC$14:AC$25)+SUMIF('2.2'!B$14:B$25,свод!B14,'2.2'!AC$14:AC$25)+SUMIF('2.3'!B$14:B$25,свод!B14,'2.3'!AC$14:AC$25)+SUMIF('2.4'!B$14:B$25,свод!B14,'2.4'!AC$14:AC$25)+SUMIF('2.5'!B$14:B$25,свод!B14,'2.5'!AC$14:AC$25)+SUMIF('2.6'!B$14:B$25,свод!B14,'2.6'!AC$14:AC$25)+SUMIF('3гпх'!B$15:B$26,свод!B14,'3гпх'!H$15:H$26)</f>
        <v>15000</v>
      </c>
      <c r="G14" s="29">
        <f>SUMIF('2.1'!B$14:B$25,свод!B14,'2.1'!G$14:G$25)+SUMIF('2.2'!B$14:B$25,свод!B14,'2.2'!G$14:G$25)+SUMIF('2.3'!B$14:B$25,свод!B14,'2.3'!G$14:G$25)+SUMIF('2.4'!B$14:B$25,свод!B14,'2.4'!G$14:G$25)+SUMIF('2.5'!B$14:B$25,свод!B14,'2.5'!G$14:G$25)+SUMIF('2.6'!B$14:B$25,свод!B14,'2.6'!G$14:G$25)+SUMIF('3гпх'!B$15:B$26,свод!B14,'3гпх'!I$15:I$26)</f>
        <v>0</v>
      </c>
      <c r="H14" s="29">
        <f>SUMIF('2.1'!B$14:B$25,свод!B14,'2.1'!H$14:H$25)+SUMIF('2.2'!B$14:B$25,свод!B14,'2.2'!H$14:H$25)+SUMIF('2.3'!B$14:B$25,свод!B14,'2.3'!H$14:H$25)+SUMIF('2.4'!B$14:B$25,свод!B14,'2.4'!H$14:H$25)+SUMIF('2.5'!B$14:B$25,свод!B14,'2.5'!H$14:H$25)+SUMIF('2.6'!B$14:B$25,свод!B14,'2.6'!H$14:H$25)</f>
        <v>0</v>
      </c>
      <c r="I14" s="29">
        <f>SUMIF('2.1'!B$14:B$25,свод!B14,'2.1'!I$14:I$25)+SUMIF('2.2'!B$14:B$25,свод!B14,'2.2'!I$14:I$25)+SUMIF('2.3'!B$14:B$25,свод!B14,'2.3'!I$14:I$25)+SUMIF('2.4'!B$14:B$25,свод!B14,'2.4'!I$14:I$25)+SUMIF('2.5'!B$14:B$25,свод!B14,'2.5'!I$14:I$25)+SUMIF('2.6'!B$14:B$25,свод!B14,'2.6'!I$14:I$25)+SUMIF('3гпх'!B$15:B$26,свод!B14,'3гпх'!F$15:F$26)+SUMIF(дивид!B$15:B$26,свод!B14,дивид!G$15:G$26)</f>
        <v>0</v>
      </c>
      <c r="J14" s="29">
        <f>SUMIF('2.1'!B$14:B$25,свод!B14,'2.1'!J$14:J$25)+SUMIF('2.2'!B$14:B$25,свод!B14,'2.2'!J$14:J$25)+SUMIF('2.3'!B$14:B$25,свод!B14,'2.3'!J$14:J$25)+SUMIF('2.4'!B$14:B$25,свод!B14,'2.4'!J$14:J$25)+SUMIF('2.5'!B$14:B$25,свод!B14,'2.5'!J$14:J$25)+SUMIF('2.6'!B$14:B$25,свод!B14,'2.6'!J$14:J$25)+SUMIF('3гпх'!B$15:B$26,свод!B14,'3гпх'!J$15:J$26)+SUMIF(дивид!B$15:B$26,свод!B14,дивид!H$15:H$26)</f>
        <v>532500</v>
      </c>
      <c r="K14" s="29">
        <f>SUMIF('2.1'!B$14:B$25,свод!B14,'2.1'!K$14:K$25)+SUMIF('2.2'!B$14:B$25,свод!B14,'2.2'!K$14:K$25)+SUMIF('2.3'!B$14:B$25,свод!B14,'2.3'!K$14:K$25)+SUMIF('2.4'!B$14:B$25,свод!B14,'2.4'!K$14:K$25)+SUMIF('2.5'!B$14:B$25,свод!B14,'2.5'!K$14:K$25)+SUMIF('2.6'!B$14:B$25,свод!B14,'2.6'!K$14:K$25)+SUMIF('3гпх'!B$15:B$26,свод!B14,'3гпх'!L$15:L$26)+SUMIF(дивид!B$15:B$26,свод!B14,дивид!J$15:J$26)</f>
        <v>53250</v>
      </c>
      <c r="L14" s="29">
        <f>SUMIF('2.1'!B$14:B$25,свод!B14,'2.1'!L$14:L$25)+SUMIF('2.2'!B$14:B$25,свод!B14,'2.2'!L$14:L$25)+SUMIF('2.3'!B$14:B$25,свод!B14,'2.3'!L$14:L$25)+SUMIF('2.4'!B$14:B$25,свод!B14,'2.4'!L$14:L$25)+SUMIF('2.5'!B$14:B$25,свод!B14,'2.5'!L$14:L$25)+SUMIF('2.6'!B$14:B$25,свод!B14,'2.6'!L$14:L$25)+SUMIF('3гпх'!B$15:B$26,свод!B14,'3гпх'!M$15:M$26)+SUMIF(дивид!B$15:B$26,свод!B14,дивид!K$15:K$26)</f>
        <v>0</v>
      </c>
      <c r="M14" s="29">
        <f>SUMIF('2.1'!B$14:B$25,свод!B14,'2.1'!M$14:M$25)+SUMIF('2.2'!B$14:B$25,свод!B14,'2.2'!M$14:M$25)+SUMIF('2.3'!B$14:B$25,свод!B14,'2.3'!M$14:M$25)+SUMIF('2.4'!B$14:B$25,свод!B14,'2.4'!M$14:M$25)+SUMIF('2.5'!B$14:B$25,свод!B14,'2.5'!M$14:M$25)+SUMIF('2.6'!B$14:B$25,свод!B14,'2.6'!M$14:M$25)+SUMIF('3гпх'!B$15:B$26,свод!B14,'4гпх'!E$3:E$14)</f>
        <v>0</v>
      </c>
      <c r="N14" s="29">
        <f>SUMIF('2.1'!B$14:B$25,свод!B14,'2.1'!N$14:N$25)+SUMIF('2.2'!B$14:B$25,свод!B14,'2.2'!N$14:N$25)+SUMIF('2.3'!B$14:B$25,свод!B14,'2.3'!N$14:N$25)+SUMIF('2.4'!B$14:B$25,свод!B14,'2.4'!N$14:N$25)+SUMIF('2.5'!B$14:B$25,свод!B14,'2.5'!N$14:N$25)+SUMIF('2.6'!B$14:B$25,свод!B14,'2.6'!N$14:N$25)+SUMIF('3гпх'!B$15:B$26,свод!B14,'4гпх'!F$3:F$14)</f>
        <v>750000</v>
      </c>
      <c r="O14" s="29"/>
      <c r="P14" s="29">
        <f>SUMIF('2.1'!B$14:B$25,свод!B14,'2.1'!P$14:P$25)+SUMIF('2.2'!B$14:B$25,свод!B14,'2.2'!P$14:P$25)+SUMIF('2.3'!B$14:B$25,свод!B14,'2.3'!P$14:P$25)+SUMIF('2.4'!B$14:B$25,свод!B14,'2.4'!P$14:P$25)+SUMIF('2.5'!B$14:B$25,свод!B14,'2.5'!P$14:P$25)+SUMIF('2.6'!B$14:B$25,свод!B14,'2.6'!P$14:P$25)+SUMIF('3гпх'!B$15:B$26,свод!B14,'3гпх'!G$15:G$26)</f>
        <v>75000</v>
      </c>
      <c r="Q14" s="29">
        <f>SUMIF('2.1'!B$14:B$25,свод!B14,'2.1'!Q$14:Q$25)+SUMIF('2.2'!B$14:B$25,свод!B14,'2.2'!Q$14:Q$25)+SUMIF('2.3'!B$14:B$25,свод!B14,'2.3'!Q$14:Q$25)+SUMIF('2.4'!B$14:B$25,свод!B14,'2.4'!Q$14:Q$25)+SUMIF('2.5'!B$14:B$25,свод!B14,'2.5'!Q$14:Q$25)+SUMIF('2.6'!B$14:B$25,свод!B14,'2.6'!Q$14:Q$25)</f>
        <v>0</v>
      </c>
      <c r="R14" s="29">
        <f>SUMIF('2.1'!B$14:B$25,свод!B14,'2.1'!R$14:R$25)+SUMIF('2.2'!B$14:B$25,свод!B14,'2.2'!R$14:R$25)+SUMIF('2.3'!B$14:B$25,свод!B14,'2.3'!R$14:R$25)+SUMIF('2.4'!B$14:B$25,свод!B14,'2.4'!R$14:R$25)+SUMIF('2.5'!B$14:B$25,свод!B14,'2.5'!R$14:R$25)+SUMIF('2.6'!B$14:B$25,свод!B14,'2.6'!R$14:R$25)</f>
        <v>675000</v>
      </c>
      <c r="S14" s="29">
        <f>SUMIF('2.1'!B$14:B$25,свод!B14,'2.1'!S$14:S$25)+SUMIF('2.2'!B$14:B$25,свод!B14,'2.2'!S$14:S$25)+SUMIF('2.3'!B$14:B$25,свод!B14,'2.3'!S$14:S$25)+SUMIF('2.4'!B$14:B$25,свод!B14,'2.4'!S$14:S$25)+SUMIF('2.5'!B$14:B$25,свод!B14,'2.5'!S$14:S$25)+SUMIF('2.6'!B$14:B$25,свод!B14,'2.6'!S$14:S$25)</f>
        <v>675000</v>
      </c>
      <c r="T14" s="29">
        <f>SUMIF('2.1'!B$14:B$25,свод!B14,'2.1'!T$14:T$25)+SUMIF('2.2'!B$14:B$25,свод!B14,'2.2'!T$14:T$25)+SUMIF('2.3'!B$14:B$25,свод!B14,'2.3'!T$14:T$25)+SUMIF('2.4'!B$14:B$25,свод!B14,'2.4'!T$14:T$25)+SUMIF('2.5'!B$14:B$25,свод!B14,'2.5'!T$14:T$25)+SUMIF('2.6'!B$14:B$25,свод!B14,'2.6'!T$14:T$25)</f>
        <v>23625</v>
      </c>
      <c r="U14" s="29">
        <f>SUMIF('2.1'!B$14:B$25,свод!B14,'2.1'!U$14:U$25)+SUMIF('2.2'!B$14:B$25,свод!B14,'2.2'!U$14:U$25)+SUMIF('2.3'!B$14:B$25,свод!B14,'2.3'!U$14:U$25)+SUMIF('2.4'!B$14:B$25,свод!B14,'2.4'!U$14:U$25)+SUMIF('2.5'!B$14:B$25,свод!B14,'2.5'!U$14:U$25)+SUMIF('2.6'!B$14:B$25,свод!B14,'2.6'!U$14:U$25)</f>
        <v>0</v>
      </c>
      <c r="V14" s="29">
        <f>SUMIF('2.1'!B$14:B$25,свод!B14,'2.1'!V$14:V$25)+SUMIF('2.2'!B$14:B$25,свод!B14,'2.2'!V$14:V$25)+SUMIF('2.3'!B$14:B$25,свод!B14,'2.3'!V$14:V$25)+SUMIF('2.4'!B$14:B$25,свод!B14,'2.4'!V$14:V$25)+SUMIF('2.5'!B$14:B$25,свод!B14,'2.5'!V$14:V$25)+SUMIF('2.6'!B$14:B$25,свод!B14,'2.6'!V$14:V$25)</f>
        <v>0</v>
      </c>
      <c r="W14" s="34"/>
      <c r="X14" s="29"/>
      <c r="Y14" s="10"/>
      <c r="Z14" s="29">
        <f>SUMIF('2.1'!B$14:B$25,свод!B14,'2.1'!Z$14:Z$25)+SUMIF('2.2'!B$14:B$25,свод!B14,'2.2'!Z$14:Z$25)+SUMIF('2.3'!B$14:B$25,свод!B14,'2.3'!Z$14:Z$25)+SUMIF('2.4'!B$14:B$25,свод!B14,'2.4'!Z$14:Z$25)+SUMIF('2.5'!B$14:B$25,свод!B14,'2.5'!Z$14:Z$25)+SUMIF('2.6'!B$14:B$25,свод!B14,'2.6'!Z$14:Z$25)+SUMIF('3гпх'!B$15:B$26,свод!B14,'4гпх'!D$3:D$14)</f>
        <v>750000</v>
      </c>
      <c r="AA14" s="29">
        <f>SUMIF('2.1'!B$14:B$25,свод!B14,'2.1'!AA$14:AA$25)+SUMIF('2.2'!B$14:B$25,свод!B14,'2.2'!AA$14:AA$25)+SUMIF('2.3'!B$14:B$25,свод!B14,'2.3'!AA$14:AA$25)+SUMIF('2.4'!B$14:B$25,свод!B14,'2.4'!AA$14:AA$25)+SUMIF('2.5'!B$14:B$25,свод!B14,'2.5'!AA$14:AA$25)+SUMIF('2.6'!B$14:B$25,свод!B14,'2.6'!AA$14:AA$25)+SUMIF('3гпх'!B$15:B$26,свод!B14,'4гпх'!I$3:I$14)</f>
        <v>750000</v>
      </c>
      <c r="AB14" s="29">
        <f>SUMIF('2.1'!B$14:B$25,свод!B14,'2.1'!AB$14:AB$25)+SUMIF('2.2'!B$14:B$25,свод!B14,'2.2'!AB$14:AB$25)+SUMIF('2.3'!B$14:B$25,свод!B14,'2.3'!AB$14:AB$25)+SUMIF('2.4'!B$14:B$25,свод!B14,'2.4'!AB$14:AB$25)+SUMIF('2.5'!B$14:B$25,свод!B14,'2.5'!AB$14:AB$25)+SUMIF('2.6'!B$14:B$25,свод!B14,'2.6'!AB$14:AB$25)</f>
        <v>15000</v>
      </c>
      <c r="AC14" s="29">
        <f>SUMIF('2.1'!B$14:B$25,свод!B14,'2.1'!AC$14:AC$25)+SUMIF('2.2'!B$14:B$25,свод!B14,'2.2'!AC$14:AC$25)+SUMIF('2.3'!B$14:B$25,свод!B14,'2.3'!AC$14:AC$25)+SUMIF('2.4'!B$14:B$25,свод!B14,'2.4'!AC$14:AC$25)+SUMIF('2.5'!B$14:B$25,свод!B14,'2.5'!AC$14:AC$25)+SUMIF('2.6'!B$14:B$25,свод!B14,'2.6'!AC$14:AC$25)+SUMIF('3гпх'!B$15:B$26,свод!B14,'3гпх'!H$15:H$26)</f>
        <v>15000</v>
      </c>
      <c r="AD14" s="34"/>
      <c r="AE14" s="29">
        <f>SUMIF('2.1'!B$14:B$25,свод!B14,'2.1'!AE$14:AE$25)+SUMIF('2.2'!B$14:B$25,свод!B14,'2.2'!AE$14:AE$25)+SUMIF('2.3'!B$14:B$25,свод!B14,'2.3'!AE$14:AE$25)+SUMIF('2.4'!B$14:B$25,свод!B14,'2.4'!AE$14:AE$25)+SUMIF('2.5'!B$14:B$25,свод!B14,'2.5'!AE$14:AE$25)+SUMIF('2.6'!B$14:B$25,свод!B14,'2.6'!AE$14:AE$25)+SUMIF('3гпх'!B$15:B$26,свод!B14,'3гпх'!AM$15:AM$26)+SUMIF(дивид!B$15:B$26,свод!B14,дивид!AK$15:AK$26)</f>
        <v>750000</v>
      </c>
      <c r="AF14" s="29">
        <f>SUMIF('2.1'!B$14:B$25,свод!B14,'2.1'!AF$14:AF$25)+SUMIF('2.2'!B$14:B$25,свод!B14,'2.2'!AF$14:AF$25)+SUMIF('2.3'!B$14:B$25,свод!B14,'2.3'!AF$14:AF$25)+SUMIF('2.4'!B$14:B$25,свод!B14,'2.4'!AF$14:AF$25)+SUMIF('2.5'!B$14:B$25,свод!B14,'2.5'!AF$14:AF$25)+SUMIF('2.6'!B$14:B$25,свод!B14,'2.6'!AF$14:AF$25)+SUMIF('3гпх'!B$15:B$26,свод!B14,'3гпх'!AN$15:AN$26)+SUMIF(дивид!B$15:B$26,свод!B14,дивид!AL$15:AL$26)</f>
        <v>0</v>
      </c>
    </row>
    <row r="15" spans="1:32" x14ac:dyDescent="0.2">
      <c r="A15" s="26">
        <v>2</v>
      </c>
      <c r="B15" s="26" t="s">
        <v>372</v>
      </c>
      <c r="C15" s="28">
        <v>1</v>
      </c>
      <c r="D15" s="29">
        <f>SUMIF('2.1'!B$14:B$25,свод!B15,'2.1'!D$14:D$25)+SUMIF('2.2'!B$14:B$25,свод!B15,'2.2'!D$14:D$25)+SUMIF('2.3'!B$14:B$25,свод!B15,'2.3'!D$14:D$25)+SUMIF('2.4'!B$14:B$25,свод!B15,'2.4'!D$14:D$25)+SUMIF('2.5'!B$14:B$25,свод!B15,'2.5'!D$14:D$25)+SUMIF('2.6'!B$14:B$25,свод!B15,'2.6'!D$14:D$25)+SUMIF('3гпх'!B$15:B$26,свод!B15,'3гпх'!E$15:E$26)+SUMIF(дивид!B$15:B$26,свод!B15,дивид!F$15:F$26)</f>
        <v>1080000</v>
      </c>
      <c r="E15" s="29">
        <f>SUMIF('2.1'!B$14:B$25,свод!B15,'2.1'!E$14:E$25)+SUMIF('2.2'!B$14:B$25,свод!B15,'2.2'!E$14:E$25)+SUMIF('2.3'!B$14:B$25,свод!B15,'2.3'!E$14:E$25)+SUMIF('2.4'!B$14:B$25,свод!B15,'2.4'!E$14:E$25)+SUMIF('2.5'!B$14:B$25,свод!B15,'2.5'!E$14:E$25)+SUMIF('2.6'!B$14:B$25,свод!B15,'2.6'!E$14:E$25)</f>
        <v>255000</v>
      </c>
      <c r="F15" s="29">
        <f>SUMIF('2.1'!B$14:B$25,свод!B15,'2.1'!AC$14:AC$25)+SUMIF('2.2'!B$14:B$25,свод!B15,'2.2'!AC$14:AC$25)+SUMIF('2.3'!B$14:B$25,свод!B15,'2.3'!AC$14:AC$25)+SUMIF('2.4'!B$14:B$25,свод!B15,'2.4'!AC$14:AC$25)+SUMIF('2.5'!B$14:B$25,свод!B15,'2.5'!AC$14:AC$25)+SUMIF('2.6'!B$14:B$25,свод!B15,'2.6'!AC$14:AC$25)+SUMIF('3гпх'!B$15:B$26,свод!B15,'3гпх'!H$15:H$26)</f>
        <v>21600</v>
      </c>
      <c r="G15" s="29">
        <f>SUMIF('2.1'!B$14:B$25,свод!B15,'2.1'!G$14:G$25)+SUMIF('2.2'!B$14:B$25,свод!B15,'2.2'!G$14:G$25)+SUMIF('2.3'!B$14:B$25,свод!B15,'2.3'!G$14:G$25)+SUMIF('2.4'!B$14:B$25,свод!B15,'2.4'!G$14:G$25)+SUMIF('2.5'!B$14:B$25,свод!B15,'2.5'!G$14:G$25)+SUMIF('2.6'!B$14:B$25,свод!B15,'2.6'!G$14:G$25)+SUMIF('3гпх'!B$15:B$26,свод!B15,'3гпх'!I$15:I$26)</f>
        <v>0</v>
      </c>
      <c r="H15" s="29">
        <f>SUMIF('2.1'!B$14:B$25,свод!B15,'2.1'!H$14:H$25)+SUMIF('2.2'!B$14:B$25,свод!B15,'2.2'!H$14:H$25)+SUMIF('2.3'!B$14:B$25,свод!B15,'2.3'!H$14:H$25)+SUMIF('2.4'!B$14:B$25,свод!B15,'2.4'!H$14:H$25)+SUMIF('2.5'!B$14:B$25,свод!B15,'2.5'!H$14:H$25)+SUMIF('2.6'!B$14:B$25,свод!B15,'2.6'!H$14:H$25)</f>
        <v>0</v>
      </c>
      <c r="I15" s="29">
        <f>SUMIF('2.1'!B$14:B$25,свод!B15,'2.1'!I$14:I$25)+SUMIF('2.2'!B$14:B$25,свод!B15,'2.2'!I$14:I$25)+SUMIF('2.3'!B$14:B$25,свод!B15,'2.3'!I$14:I$25)+SUMIF('2.4'!B$14:B$25,свод!B15,'2.4'!I$14:I$25)+SUMIF('2.5'!B$14:B$25,свод!B15,'2.5'!I$14:I$25)+SUMIF('2.6'!B$14:B$25,свод!B15,'2.6'!I$14:I$25)+SUMIF('3гпх'!B$15:B$26,свод!B15,'3гпх'!F$15:F$26)+SUMIF(дивид!B$15:B$26,свод!B15,дивид!G$15:G$26)</f>
        <v>0</v>
      </c>
      <c r="J15" s="29">
        <f>SUMIF('2.1'!B$14:B$25,свод!B15,'2.1'!J$14:J$25)+SUMIF('2.2'!B$14:B$25,свод!B15,'2.2'!J$14:J$25)+SUMIF('2.3'!B$14:B$25,свод!B15,'2.3'!J$14:J$25)+SUMIF('2.4'!B$14:B$25,свод!B15,'2.4'!J$14:J$25)+SUMIF('2.5'!B$14:B$25,свод!B15,'2.5'!J$14:J$25)+SUMIF('2.6'!B$14:B$25,свод!B15,'2.6'!J$14:J$25)+SUMIF('3гпх'!B$15:B$26,свод!B15,'3гпх'!J$15:J$26)+SUMIF(дивид!B$15:B$26,свод!B15,дивид!H$15:H$26)</f>
        <v>695400</v>
      </c>
      <c r="K15" s="29">
        <f>SUMIF('2.1'!B$14:B$25,свод!B15,'2.1'!K$14:K$25)+SUMIF('2.2'!B$14:B$25,свод!B15,'2.2'!K$14:K$25)+SUMIF('2.3'!B$14:B$25,свод!B15,'2.3'!K$14:K$25)+SUMIF('2.4'!B$14:B$25,свод!B15,'2.4'!K$14:K$25)+SUMIF('2.5'!B$14:B$25,свод!B15,'2.5'!K$14:K$25)+SUMIF('2.6'!B$14:B$25,свод!B15,'2.6'!K$14:K$25)+SUMIF('3гпх'!B$15:B$26,свод!B15,'3гпх'!L$15:L$26)+SUMIF(дивид!B$15:B$26,свод!B15,дивид!J$15:J$26)</f>
        <v>69540</v>
      </c>
      <c r="L15" s="29">
        <f>SUMIF('2.1'!B$14:B$25,свод!B15,'2.1'!L$14:L$25)+SUMIF('2.2'!B$14:B$25,свод!B15,'2.2'!L$14:L$25)+SUMIF('2.3'!B$14:B$25,свод!B15,'2.3'!L$14:L$25)+SUMIF('2.4'!B$14:B$25,свод!B15,'2.4'!L$14:L$25)+SUMIF('2.5'!B$14:B$25,свод!B15,'2.5'!L$14:L$25)+SUMIF('2.6'!B$14:B$25,свод!B15,'2.6'!L$14:L$25)+SUMIF('3гпх'!B$15:B$26,свод!B15,'3гпх'!M$15:M$26)+SUMIF(дивид!B$15:B$26,свод!B15,дивид!K$15:K$26)</f>
        <v>0</v>
      </c>
      <c r="M15" s="29">
        <f>SUMIF('2.1'!B$14:B$25,свод!B15,'2.1'!M$14:M$25)+SUMIF('2.2'!B$14:B$25,свод!B15,'2.2'!M$14:M$25)+SUMIF('2.3'!B$14:B$25,свод!B15,'2.3'!M$14:M$25)+SUMIF('2.4'!B$14:B$25,свод!B15,'2.4'!M$14:M$25)+SUMIF('2.5'!B$14:B$25,свод!B15,'2.5'!M$14:M$25)+SUMIF('2.6'!B$14:B$25,свод!B15,'2.6'!M$14:M$25)+SUMIF('3гпх'!B$15:B$26,свод!B15,'4гпх'!E$3:E$14)</f>
        <v>0</v>
      </c>
      <c r="N15" s="29">
        <f>SUMIF('2.1'!B$14:B$25,свод!B15,'2.1'!N$14:N$25)+SUMIF('2.2'!B$14:B$25,свод!B15,'2.2'!N$14:N$25)+SUMIF('2.3'!B$14:B$25,свод!B15,'2.3'!N$14:N$25)+SUMIF('2.4'!B$14:B$25,свод!B15,'2.4'!N$14:N$25)+SUMIF('2.5'!B$14:B$25,свод!B15,'2.5'!N$14:N$25)+SUMIF('2.6'!B$14:B$25,свод!B15,'2.6'!N$14:N$25)+SUMIF('3гпх'!B$15:B$26,свод!B15,'4гпх'!F$3:F$14)</f>
        <v>1080000</v>
      </c>
      <c r="O15" s="29"/>
      <c r="P15" s="29">
        <f>SUMIF('2.1'!B$14:B$25,свод!B15,'2.1'!P$14:P$25)+SUMIF('2.2'!B$14:B$25,свод!B15,'2.2'!P$14:P$25)+SUMIF('2.3'!B$14:B$25,свод!B15,'2.3'!P$14:P$25)+SUMIF('2.4'!B$14:B$25,свод!B15,'2.4'!P$14:P$25)+SUMIF('2.5'!B$14:B$25,свод!B15,'2.5'!P$14:P$25)+SUMIF('2.6'!B$14:B$25,свод!B15,'2.6'!P$14:P$25)+SUMIF('3гпх'!B$15:B$26,свод!B15,'3гпх'!G$15:G$26)</f>
        <v>108000</v>
      </c>
      <c r="Q15" s="29">
        <f>SUMIF('2.1'!B$14:B$25,свод!B15,'2.1'!Q$14:Q$25)+SUMIF('2.2'!B$14:B$25,свод!B15,'2.2'!Q$14:Q$25)+SUMIF('2.3'!B$14:B$25,свод!B15,'2.3'!Q$14:Q$25)+SUMIF('2.4'!B$14:B$25,свод!B15,'2.4'!Q$14:Q$25)+SUMIF('2.5'!B$14:B$25,свод!B15,'2.5'!Q$14:Q$25)+SUMIF('2.6'!B$14:B$25,свод!B15,'2.6'!Q$14:Q$25)</f>
        <v>0</v>
      </c>
      <c r="R15" s="29">
        <f>SUMIF('2.1'!B$14:B$25,свод!B15,'2.1'!R$14:R$25)+SUMIF('2.2'!B$14:B$25,свод!B15,'2.2'!R$14:R$25)+SUMIF('2.3'!B$14:B$25,свод!B15,'2.3'!R$14:R$25)+SUMIF('2.4'!B$14:B$25,свод!B15,'2.4'!R$14:R$25)+SUMIF('2.5'!B$14:B$25,свод!B15,'2.5'!R$14:R$25)+SUMIF('2.6'!B$14:B$25,свод!B15,'2.6'!R$14:R$25)</f>
        <v>972000</v>
      </c>
      <c r="S15" s="29">
        <f>SUMIF('2.1'!B$14:B$25,свод!B15,'2.1'!S$14:S$25)+SUMIF('2.2'!B$14:B$25,свод!B15,'2.2'!S$14:S$25)+SUMIF('2.3'!B$14:B$25,свод!B15,'2.3'!S$14:S$25)+SUMIF('2.4'!B$14:B$25,свод!B15,'2.4'!S$14:S$25)+SUMIF('2.5'!B$14:B$25,свод!B15,'2.5'!S$14:S$25)+SUMIF('2.6'!B$14:B$25,свод!B15,'2.6'!S$14:S$25)</f>
        <v>972000</v>
      </c>
      <c r="T15" s="29">
        <f>SUMIF('2.1'!B$14:B$25,свод!B15,'2.1'!T$14:T$25)+SUMIF('2.2'!B$14:B$25,свод!B15,'2.2'!T$14:T$25)+SUMIF('2.3'!B$14:B$25,свод!B15,'2.3'!T$14:T$25)+SUMIF('2.4'!B$14:B$25,свод!B15,'2.4'!T$14:T$25)+SUMIF('2.5'!B$14:B$25,свод!B15,'2.5'!T$14:T$25)+SUMIF('2.6'!B$14:B$25,свод!B15,'2.6'!T$14:T$25)</f>
        <v>34020</v>
      </c>
      <c r="U15" s="29">
        <f>SUMIF('2.1'!B$14:B$25,свод!B15,'2.1'!U$14:U$25)+SUMIF('2.2'!B$14:B$25,свод!B15,'2.2'!U$14:U$25)+SUMIF('2.3'!B$14:B$25,свод!B15,'2.3'!U$14:U$25)+SUMIF('2.4'!B$14:B$25,свод!B15,'2.4'!U$14:U$25)+SUMIF('2.5'!B$14:B$25,свод!B15,'2.5'!U$14:U$25)+SUMIF('2.6'!B$14:B$25,свод!B15,'2.6'!U$14:U$25)</f>
        <v>0</v>
      </c>
      <c r="V15" s="29">
        <f>SUMIF('2.1'!B$14:B$25,свод!B15,'2.1'!V$14:V$25)+SUMIF('2.2'!B$14:B$25,свод!B15,'2.2'!V$14:V$25)+SUMIF('2.3'!B$14:B$25,свод!B15,'2.3'!V$14:V$25)+SUMIF('2.4'!B$14:B$25,свод!B15,'2.4'!V$14:V$25)+SUMIF('2.5'!B$14:B$25,свод!B15,'2.5'!V$14:V$25)+SUMIF('2.6'!B$14:B$25,свод!B15,'2.6'!V$14:V$25)</f>
        <v>0</v>
      </c>
      <c r="W15" s="34"/>
      <c r="X15" s="64"/>
      <c r="Y15" s="10"/>
      <c r="Z15" s="29">
        <f>SUMIF('2.1'!B$14:B$25,свод!B15,'2.1'!Z$14:Z$25)+SUMIF('2.2'!B$14:B$25,свод!B15,'2.2'!Z$14:Z$25)+SUMIF('2.3'!B$14:B$25,свод!B15,'2.3'!Z$14:Z$25)+SUMIF('2.4'!B$14:B$25,свод!B15,'2.4'!Z$14:Z$25)+SUMIF('2.5'!B$14:B$25,свод!B15,'2.5'!Z$14:Z$25)+SUMIF('2.6'!B$14:B$25,свод!B15,'2.6'!Z$14:Z$25)+SUMIF('3гпх'!B$15:B$26,свод!B15,'4гпх'!D$3:D$14)</f>
        <v>1080000</v>
      </c>
      <c r="AA15" s="29">
        <f>SUMIF('2.1'!B$14:B$25,свод!B15,'2.1'!AA$14:AA$25)+SUMIF('2.2'!B$14:B$25,свод!B15,'2.2'!AA$14:AA$25)+SUMIF('2.3'!B$14:B$25,свод!B15,'2.3'!AA$14:AA$25)+SUMIF('2.4'!B$14:B$25,свод!B15,'2.4'!AA$14:AA$25)+SUMIF('2.5'!B$14:B$25,свод!B15,'2.5'!AA$14:AA$25)+SUMIF('2.6'!B$14:B$25,свод!B15,'2.6'!AA$14:AA$25)+SUMIF('3гпх'!B$15:B$26,свод!B15,'4гпх'!I$3:I$14)</f>
        <v>1080000</v>
      </c>
      <c r="AB15" s="29">
        <f>SUMIF('2.1'!B$14:B$25,свод!B15,'2.1'!AB$14:AB$25)+SUMIF('2.2'!B$14:B$25,свод!B15,'2.2'!AB$14:AB$25)+SUMIF('2.3'!B$14:B$25,свод!B15,'2.3'!AB$14:AB$25)+SUMIF('2.4'!B$14:B$25,свод!B15,'2.4'!AB$14:AB$25)+SUMIF('2.5'!B$14:B$25,свод!B15,'2.5'!AB$14:AB$25)+SUMIF('2.6'!B$14:B$25,свод!B15,'2.6'!AB$14:AB$25)</f>
        <v>21600</v>
      </c>
      <c r="AC15" s="29">
        <f>SUMIF('2.1'!B$14:B$25,свод!B15,'2.1'!AC$14:AC$25)+SUMIF('2.2'!B$14:B$25,свод!B15,'2.2'!AC$14:AC$25)+SUMIF('2.3'!B$14:B$25,свод!B15,'2.3'!AC$14:AC$25)+SUMIF('2.4'!B$14:B$25,свод!B15,'2.4'!AC$14:AC$25)+SUMIF('2.5'!B$14:B$25,свод!B15,'2.5'!AC$14:AC$25)+SUMIF('2.6'!B$14:B$25,свод!B15,'2.6'!AC$14:AC$25)+SUMIF('3гпх'!B$15:B$26,свод!B15,'3гпх'!H$15:H$26)</f>
        <v>21600</v>
      </c>
      <c r="AD15" s="34"/>
      <c r="AE15" s="29">
        <f>SUMIF('2.1'!B$14:B$25,свод!B15,'2.1'!AE$14:AE$25)+SUMIF('2.2'!B$14:B$25,свод!B15,'2.2'!AE$14:AE$25)+SUMIF('2.3'!B$14:B$25,свод!B15,'2.3'!AE$14:AE$25)+SUMIF('2.4'!B$14:B$25,свод!B15,'2.4'!AE$14:AE$25)+SUMIF('2.5'!B$14:B$25,свод!B15,'2.5'!AE$14:AE$25)+SUMIF('2.6'!B$14:B$25,свод!B15,'2.6'!AE$14:AE$25)+SUMIF('3гпх'!B$15:B$26,свод!B15,'3гпх'!AM$15:AM$26)+SUMIF(дивид!B$15:B$26,свод!B15,дивид!AK$15:AK$26)</f>
        <v>1080000</v>
      </c>
      <c r="AF15" s="29">
        <f>SUMIF('2.1'!B$14:B$25,свод!B15,'2.1'!AF$14:AF$25)+SUMIF('2.2'!B$14:B$25,свод!B15,'2.2'!AF$14:AF$25)+SUMIF('2.3'!B$14:B$25,свод!B15,'2.3'!AF$14:AF$25)+SUMIF('2.4'!B$14:B$25,свод!B15,'2.4'!AF$14:AF$25)+SUMIF('2.5'!B$14:B$25,свод!B15,'2.5'!AF$14:AF$25)+SUMIF('2.6'!B$14:B$25,свод!B15,'2.6'!AF$14:AF$25)+SUMIF('3гпх'!B$15:B$26,свод!B15,'3гпх'!AN$15:AN$26)+SUMIF(дивид!B$15:B$26,свод!B15,дивид!AL$15:AL$26)</f>
        <v>0</v>
      </c>
    </row>
    <row r="16" spans="1:32" x14ac:dyDescent="0.2">
      <c r="A16" s="26">
        <v>3</v>
      </c>
      <c r="B16" s="26" t="s">
        <v>375</v>
      </c>
      <c r="C16" s="28">
        <v>3</v>
      </c>
      <c r="D16" s="29">
        <f>SUMIF('2.1'!B$14:B$25,свод!B16,'2.1'!D$14:D$25)+SUMIF('2.2'!B$14:B$25,свод!B16,'2.2'!D$14:D$25)+SUMIF('2.3'!B$14:B$25,свод!B16,'2.3'!D$14:D$25)+SUMIF('2.4'!B$14:B$25,свод!B16,'2.4'!D$14:D$25)+SUMIF('2.5'!B$14:B$25,свод!B16,'2.5'!D$14:D$25)+SUMIF('2.6'!B$14:B$25,свод!B16,'2.6'!D$14:D$25)+SUMIF('3гпх'!B$15:B$26,свод!B16,'3гпх'!E$15:E$26)+SUMIF(дивид!B$15:B$26,свод!B16,дивид!F$15:F$26)</f>
        <v>1200000</v>
      </c>
      <c r="E16" s="29">
        <f>SUMIF('2.1'!B$14:B$25,свод!B16,'2.1'!E$14:E$25)+SUMIF('2.2'!B$14:B$25,свод!B16,'2.2'!E$14:E$25)+SUMIF('2.3'!B$14:B$25,свод!B16,'2.3'!E$14:E$25)+SUMIF('2.4'!B$14:B$25,свод!B16,'2.4'!E$14:E$25)+SUMIF('2.5'!B$14:B$25,свод!B16,'2.5'!E$14:E$25)+SUMIF('2.6'!B$14:B$25,свод!B16,'2.6'!E$14:E$25)</f>
        <v>0</v>
      </c>
      <c r="F16" s="29">
        <f>SUMIF('2.1'!B$14:B$25,свод!B16,'2.1'!AC$14:AC$25)+SUMIF('2.2'!B$14:B$25,свод!B16,'2.2'!AC$14:AC$25)+SUMIF('2.3'!B$14:B$25,свод!B16,'2.3'!AC$14:AC$25)+SUMIF('2.4'!B$14:B$25,свод!B16,'2.4'!AC$14:AC$25)+SUMIF('2.5'!B$14:B$25,свод!B16,'2.5'!AC$14:AC$25)+SUMIF('2.6'!B$14:B$25,свод!B16,'2.6'!AC$14:AC$25)+SUMIF('3гпх'!B$15:B$26,свод!B16,'3гпх'!H$15:H$26)</f>
        <v>0</v>
      </c>
      <c r="G16" s="29">
        <f>SUMIF('2.1'!B$14:B$25,свод!B16,'2.1'!G$14:G$25)+SUMIF('2.2'!B$14:B$25,свод!B16,'2.2'!G$14:G$25)+SUMIF('2.3'!B$14:B$25,свод!B16,'2.3'!G$14:G$25)+SUMIF('2.4'!B$14:B$25,свод!B16,'2.4'!G$14:G$25)+SUMIF('2.5'!B$14:B$25,свод!B16,'2.5'!G$14:G$25)+SUMIF('2.6'!B$14:B$25,свод!B16,'2.6'!G$14:G$25)+SUMIF('3гпх'!B$15:B$26,свод!B16,'3гпх'!I$15:I$26)</f>
        <v>0</v>
      </c>
      <c r="H16" s="29">
        <f>SUMIF('2.1'!B$14:B$25,свод!B16,'2.1'!H$14:H$25)+SUMIF('2.2'!B$14:B$25,свод!B16,'2.2'!H$14:H$25)+SUMIF('2.3'!B$14:B$25,свод!B16,'2.3'!H$14:H$25)+SUMIF('2.4'!B$14:B$25,свод!B16,'2.4'!H$14:H$25)+SUMIF('2.5'!B$14:B$25,свод!B16,'2.5'!H$14:H$25)+SUMIF('2.6'!B$14:B$25,свод!B16,'2.6'!H$14:H$25)</f>
        <v>0</v>
      </c>
      <c r="I16" s="29">
        <f>SUMIF('2.1'!B$14:B$25,свод!B16,'2.1'!I$14:I$25)+SUMIF('2.2'!B$14:B$25,свод!B16,'2.2'!I$14:I$25)+SUMIF('2.3'!B$14:B$25,свод!B16,'2.3'!I$14:I$25)+SUMIF('2.4'!B$14:B$25,свод!B16,'2.4'!I$14:I$25)+SUMIF('2.5'!B$14:B$25,свод!B16,'2.5'!I$14:I$25)+SUMIF('2.6'!B$14:B$25,свод!B16,'2.6'!I$14:I$25)+SUMIF('3гпх'!B$15:B$26,свод!B16,'3гпх'!F$15:F$26)+SUMIF(дивид!B$15:B$26,свод!B16,дивид!G$15:G$26)</f>
        <v>0</v>
      </c>
      <c r="J16" s="29">
        <f>SUMIF('2.1'!B$14:B$25,свод!B16,'2.1'!J$14:J$25)+SUMIF('2.2'!B$14:B$25,свод!B16,'2.2'!J$14:J$25)+SUMIF('2.3'!B$14:B$25,свод!B16,'2.3'!J$14:J$25)+SUMIF('2.4'!B$14:B$25,свод!B16,'2.4'!J$14:J$25)+SUMIF('2.5'!B$14:B$25,свод!B16,'2.5'!J$14:J$25)+SUMIF('2.6'!B$14:B$25,свод!B16,'2.6'!J$14:J$25)+SUMIF('3гпх'!B$15:B$26,свод!B16,'3гпх'!J$15:J$26)+SUMIF(дивид!B$15:B$26,свод!B16,дивид!H$15:H$26)</f>
        <v>1200000</v>
      </c>
      <c r="K16" s="29">
        <f>SUMIF('2.1'!B$14:B$25,свод!B16,'2.1'!K$14:K$25)+SUMIF('2.2'!B$14:B$25,свод!B16,'2.2'!K$14:K$25)+SUMIF('2.3'!B$14:B$25,свод!B16,'2.3'!K$14:K$25)+SUMIF('2.4'!B$14:B$25,свод!B16,'2.4'!K$14:K$25)+SUMIF('2.5'!B$14:B$25,свод!B16,'2.5'!K$14:K$25)+SUMIF('2.6'!B$14:B$25,свод!B16,'2.6'!K$14:K$25)+SUMIF('3гпх'!B$15:B$26,свод!B16,'3гпх'!L$15:L$26)+SUMIF(дивид!B$15:B$26,свод!B16,дивид!J$15:J$26)</f>
        <v>0</v>
      </c>
      <c r="L16" s="29">
        <f>SUMIF('2.1'!B$14:B$25,свод!B16,'2.1'!L$14:L$25)+SUMIF('2.2'!B$14:B$25,свод!B16,'2.2'!L$14:L$25)+SUMIF('2.3'!B$14:B$25,свод!B16,'2.3'!L$14:L$25)+SUMIF('2.4'!B$14:B$25,свод!B16,'2.4'!L$14:L$25)+SUMIF('2.5'!B$14:B$25,свод!B16,'2.5'!L$14:L$25)+SUMIF('2.6'!B$14:B$25,свод!B16,'2.6'!L$14:L$25)+SUMIF('3гпх'!B$15:B$26,свод!B16,'3гпх'!M$15:M$26)+SUMIF(дивид!B$15:B$26,свод!B16,дивид!K$15:K$26)</f>
        <v>120000</v>
      </c>
      <c r="M16" s="29">
        <f>SUMIF('2.1'!B$14:B$25,свод!B16,'2.1'!M$14:M$25)+SUMIF('2.2'!B$14:B$25,свод!B16,'2.2'!M$14:M$25)+SUMIF('2.3'!B$14:B$25,свод!B16,'2.3'!M$14:M$25)+SUMIF('2.4'!B$14:B$25,свод!B16,'2.4'!M$14:M$25)+SUMIF('2.5'!B$14:B$25,свод!B16,'2.5'!M$14:M$25)+SUMIF('2.6'!B$14:B$25,свод!B16,'2.6'!M$14:M$25)+SUMIF('3гпх'!B$15:B$26,свод!B16,'4гпх'!E$3:E$14)</f>
        <v>0</v>
      </c>
      <c r="N16" s="29">
        <f>SUMIF('2.1'!B$14:B$25,свод!B16,'2.1'!N$14:N$25)+SUMIF('2.2'!B$14:B$25,свод!B16,'2.2'!N$14:N$25)+SUMIF('2.3'!B$14:B$25,свод!B16,'2.3'!N$14:N$25)+SUMIF('2.4'!B$14:B$25,свод!B16,'2.4'!N$14:N$25)+SUMIF('2.5'!B$14:B$25,свод!B16,'2.5'!N$14:N$25)+SUMIF('2.6'!B$14:B$25,свод!B16,'2.6'!N$14:N$25)+SUMIF('3гпх'!B$15:B$26,свод!B16,'4гпх'!F$3:F$14)</f>
        <v>0</v>
      </c>
      <c r="O16" s="29"/>
      <c r="P16" s="29">
        <f>SUMIF('2.1'!B$14:B$25,свод!B16,'2.1'!P$14:P$25)+SUMIF('2.2'!B$14:B$25,свод!B16,'2.2'!P$14:P$25)+SUMIF('2.3'!B$14:B$25,свод!B16,'2.3'!P$14:P$25)+SUMIF('2.4'!B$14:B$25,свод!B16,'2.4'!P$14:P$25)+SUMIF('2.5'!B$14:B$25,свод!B16,'2.5'!P$14:P$25)+SUMIF('2.6'!B$14:B$25,свод!B16,'2.6'!P$14:P$25)+SUMIF('3гпх'!B$15:B$26,свод!B16,'3гпх'!G$15:G$26)</f>
        <v>0</v>
      </c>
      <c r="Q16" s="29">
        <f>SUMIF('2.1'!B$14:B$25,свод!B16,'2.1'!Q$14:Q$25)+SUMIF('2.2'!B$14:B$25,свод!B16,'2.2'!Q$14:Q$25)+SUMIF('2.3'!B$14:B$25,свод!B16,'2.3'!Q$14:Q$25)+SUMIF('2.4'!B$14:B$25,свод!B16,'2.4'!Q$14:Q$25)+SUMIF('2.5'!B$14:B$25,свод!B16,'2.5'!Q$14:Q$25)+SUMIF('2.6'!B$14:B$25,свод!B16,'2.6'!Q$14:Q$25)</f>
        <v>0</v>
      </c>
      <c r="R16" s="29">
        <f>SUMIF('2.1'!B$14:B$25,свод!B16,'2.1'!R$14:R$25)+SUMIF('2.2'!B$14:B$25,свод!B16,'2.2'!R$14:R$25)+SUMIF('2.3'!B$14:B$25,свод!B16,'2.3'!R$14:R$25)+SUMIF('2.4'!B$14:B$25,свод!B16,'2.4'!R$14:R$25)+SUMIF('2.5'!B$14:B$25,свод!B16,'2.5'!R$14:R$25)+SUMIF('2.6'!B$14:B$25,свод!B16,'2.6'!R$14:R$25)</f>
        <v>0</v>
      </c>
      <c r="S16" s="29">
        <f>SUMIF('2.1'!B$14:B$25,свод!B16,'2.1'!S$14:S$25)+SUMIF('2.2'!B$14:B$25,свод!B16,'2.2'!S$14:S$25)+SUMIF('2.3'!B$14:B$25,свод!B16,'2.3'!S$14:S$25)+SUMIF('2.4'!B$14:B$25,свод!B16,'2.4'!S$14:S$25)+SUMIF('2.5'!B$14:B$25,свод!B16,'2.5'!S$14:S$25)+SUMIF('2.6'!B$14:B$25,свод!B16,'2.6'!S$14:S$25)</f>
        <v>0</v>
      </c>
      <c r="T16" s="29">
        <f>SUMIF('2.1'!B$14:B$25,свод!B16,'2.1'!T$14:T$25)+SUMIF('2.2'!B$14:B$25,свод!B16,'2.2'!T$14:T$25)+SUMIF('2.3'!B$14:B$25,свод!B16,'2.3'!T$14:T$25)+SUMIF('2.4'!B$14:B$25,свод!B16,'2.4'!T$14:T$25)+SUMIF('2.5'!B$14:B$25,свод!B16,'2.5'!T$14:T$25)+SUMIF('2.6'!B$14:B$25,свод!B16,'2.6'!T$14:T$25)</f>
        <v>0</v>
      </c>
      <c r="U16" s="29">
        <f>SUMIF('2.1'!B$14:B$25,свод!B16,'2.1'!U$14:U$25)+SUMIF('2.2'!B$14:B$25,свод!B16,'2.2'!U$14:U$25)+SUMIF('2.3'!B$14:B$25,свод!B16,'2.3'!U$14:U$25)+SUMIF('2.4'!B$14:B$25,свод!B16,'2.4'!U$14:U$25)+SUMIF('2.5'!B$14:B$25,свод!B16,'2.5'!U$14:U$25)+SUMIF('2.6'!B$14:B$25,свод!B16,'2.6'!U$14:U$25)</f>
        <v>0</v>
      </c>
      <c r="V16" s="29">
        <f>SUMIF('2.1'!B$14:B$25,свод!B16,'2.1'!V$14:V$25)+SUMIF('2.2'!B$14:B$25,свод!B16,'2.2'!V$14:V$25)+SUMIF('2.3'!B$14:B$25,свод!B16,'2.3'!V$14:V$25)+SUMIF('2.4'!B$14:B$25,свод!B16,'2.4'!V$14:V$25)+SUMIF('2.5'!B$14:B$25,свод!B16,'2.5'!V$14:V$25)+SUMIF('2.6'!B$14:B$25,свод!B16,'2.6'!V$14:V$25)</f>
        <v>0</v>
      </c>
      <c r="W16" s="34"/>
      <c r="X16" s="64"/>
      <c r="Y16" s="10"/>
      <c r="Z16" s="29">
        <f>SUMIF('2.1'!B$14:B$25,свод!B16,'2.1'!Z$14:Z$25)+SUMIF('2.2'!B$14:B$25,свод!B16,'2.2'!Z$14:Z$25)+SUMIF('2.3'!B$14:B$25,свод!B16,'2.3'!Z$14:Z$25)+SUMIF('2.4'!B$14:B$25,свод!B16,'2.4'!Z$14:Z$25)+SUMIF('2.5'!B$14:B$25,свод!B16,'2.5'!Z$14:Z$25)+SUMIF('2.6'!B$14:B$25,свод!B16,'2.6'!Z$14:Z$25)+SUMIF('3гпх'!B$15:B$26,свод!B16,'4гпх'!D$3:D$14)</f>
        <v>0</v>
      </c>
      <c r="AA16" s="29">
        <f>SUMIF('2.1'!B$14:B$25,свод!B16,'2.1'!AA$14:AA$25)+SUMIF('2.2'!B$14:B$25,свод!B16,'2.2'!AA$14:AA$25)+SUMIF('2.3'!B$14:B$25,свод!B16,'2.3'!AA$14:AA$25)+SUMIF('2.4'!B$14:B$25,свод!B16,'2.4'!AA$14:AA$25)+SUMIF('2.5'!B$14:B$25,свод!B16,'2.5'!AA$14:AA$25)+SUMIF('2.6'!B$14:B$25,свод!B16,'2.6'!AA$14:AA$25)+SUMIF('3гпх'!B$15:B$26,свод!B16,'4гпх'!I$3:I$14)</f>
        <v>0</v>
      </c>
      <c r="AB16" s="29">
        <f>SUMIF('2.1'!B$14:B$25,свод!B16,'2.1'!AB$14:AB$25)+SUMIF('2.2'!B$14:B$25,свод!B16,'2.2'!AB$14:AB$25)+SUMIF('2.3'!B$14:B$25,свод!B16,'2.3'!AB$14:AB$25)+SUMIF('2.4'!B$14:B$25,свод!B16,'2.4'!AB$14:AB$25)+SUMIF('2.5'!B$14:B$25,свод!B16,'2.5'!AB$14:AB$25)+SUMIF('2.6'!B$14:B$25,свод!B16,'2.6'!AB$14:AB$25)</f>
        <v>0</v>
      </c>
      <c r="AC16" s="29">
        <f>SUMIF('2.1'!B$14:B$25,свод!B16,'2.1'!AC$14:AC$25)+SUMIF('2.2'!B$14:B$25,свод!B16,'2.2'!AC$14:AC$25)+SUMIF('2.3'!B$14:B$25,свод!B16,'2.3'!AC$14:AC$25)+SUMIF('2.4'!B$14:B$25,свод!B16,'2.4'!AC$14:AC$25)+SUMIF('2.5'!B$14:B$25,свод!B16,'2.5'!AC$14:AC$25)+SUMIF('2.6'!B$14:B$25,свод!B16,'2.6'!AC$14:AC$25)+SUMIF('3гпх'!B$15:B$26,свод!B16,'3гпх'!H$15:H$26)</f>
        <v>0</v>
      </c>
      <c r="AD16" s="34"/>
      <c r="AE16" s="29">
        <f>SUMIF('2.1'!B$14:B$25,свод!B16,'2.1'!AE$14:AE$25)+SUMIF('2.2'!B$14:B$25,свод!B16,'2.2'!AE$14:AE$25)+SUMIF('2.3'!B$14:B$25,свод!B16,'2.3'!AE$14:AE$25)+SUMIF('2.4'!B$14:B$25,свод!B16,'2.4'!AE$14:AE$25)+SUMIF('2.5'!B$14:B$25,свод!B16,'2.5'!AE$14:AE$25)+SUMIF('2.6'!B$14:B$25,свод!B16,'2.6'!AE$14:AE$25)+SUMIF('3гпх'!B$15:B$26,свод!B16,'3гпх'!AM$15:AM$26)+SUMIF(дивид!B$15:B$26,свод!B16,дивид!AK$15:AK$26)</f>
        <v>0</v>
      </c>
      <c r="AF16" s="29">
        <f>SUMIF('2.1'!B$14:B$25,свод!B16,'2.1'!AF$14:AF$25)+SUMIF('2.2'!B$14:B$25,свод!B16,'2.2'!AF$14:AF$25)+SUMIF('2.3'!B$14:B$25,свод!B16,'2.3'!AF$14:AF$25)+SUMIF('2.4'!B$14:B$25,свод!B16,'2.4'!AF$14:AF$25)+SUMIF('2.5'!B$14:B$25,свод!B16,'2.5'!AF$14:AF$25)+SUMIF('2.6'!B$14:B$25,свод!B16,'2.6'!AF$14:AF$25)+SUMIF('3гпх'!B$15:B$26,свод!B16,'3гпх'!AN$15:AN$26)+SUMIF(дивид!B$15:B$26,свод!B16,дивид!AL$15:AL$26)</f>
        <v>1200000</v>
      </c>
    </row>
    <row r="17" spans="1:32" x14ac:dyDescent="0.2">
      <c r="A17" s="26">
        <v>4</v>
      </c>
      <c r="B17" s="26" t="s">
        <v>373</v>
      </c>
      <c r="C17" s="28">
        <v>2</v>
      </c>
      <c r="D17" s="29">
        <f>SUMIF('2.1'!B$14:B$25,свод!B17,'2.1'!D$14:D$25)+SUMIF('2.2'!B$14:B$25,свод!B17,'2.2'!D$14:D$25)+SUMIF('2.3'!B$14:B$25,свод!B17,'2.3'!D$14:D$25)+SUMIF('2.4'!B$14:B$25,свод!B17,'2.4'!D$14:D$25)+SUMIF('2.5'!B$14:B$25,свод!B17,'2.5'!D$14:D$25)+SUMIF('2.6'!B$14:B$25,свод!B17,'2.6'!D$14:D$25)+SUMIF('3гпх'!B$15:B$26,свод!B17,'3гпх'!E$15:E$26)+SUMIF(дивид!B$15:B$26,свод!B17,дивид!F$15:F$26)</f>
        <v>1100000</v>
      </c>
      <c r="E17" s="29">
        <f>SUMIF('2.1'!B$14:B$25,свод!B17,'2.1'!E$14:E$25)+SUMIF('2.2'!B$14:B$25,свод!B17,'2.2'!E$14:E$25)+SUMIF('2.3'!B$14:B$25,свод!B17,'2.3'!E$14:E$25)+SUMIF('2.4'!B$14:B$25,свод!B17,'2.4'!E$14:E$25)+SUMIF('2.5'!B$14:B$25,свод!B17,'2.5'!E$14:E$25)+SUMIF('2.6'!B$14:B$25,свод!B17,'2.6'!E$14:E$25)</f>
        <v>212500</v>
      </c>
      <c r="F17" s="29">
        <f>SUMIF('2.1'!B$14:B$25,свод!B17,'2.1'!AC$14:AC$25)+SUMIF('2.2'!B$14:B$25,свод!B17,'2.2'!AC$14:AC$25)+SUMIF('2.3'!B$14:B$25,свод!B17,'2.3'!AC$14:AC$25)+SUMIF('2.4'!B$14:B$25,свод!B17,'2.4'!AC$14:AC$25)+SUMIF('2.5'!B$14:B$25,свод!B17,'2.5'!AC$14:AC$25)+SUMIF('2.6'!B$14:B$25,свод!B17,'2.6'!AC$14:AC$25)+SUMIF('3гпх'!B$15:B$26,свод!B17,'3гпх'!H$15:H$26)</f>
        <v>22000</v>
      </c>
      <c r="G17" s="29">
        <f>SUMIF('2.1'!B$14:B$25,свод!B17,'2.1'!G$14:G$25)+SUMIF('2.2'!B$14:B$25,свод!B17,'2.2'!G$14:G$25)+SUMIF('2.3'!B$14:B$25,свод!B17,'2.3'!G$14:G$25)+SUMIF('2.4'!B$14:B$25,свод!B17,'2.4'!G$14:G$25)+SUMIF('2.5'!B$14:B$25,свод!B17,'2.5'!G$14:G$25)+SUMIF('2.6'!B$14:B$25,свод!B17,'2.6'!G$14:G$25)+SUMIF('3гпх'!B$15:B$26,свод!B17,'3гпх'!I$15:I$26)</f>
        <v>0</v>
      </c>
      <c r="H17" s="29">
        <f>SUMIF('2.1'!B$14:B$25,свод!B17,'2.1'!H$14:H$25)+SUMIF('2.2'!B$14:B$25,свод!B17,'2.2'!H$14:H$25)+SUMIF('2.3'!B$14:B$25,свод!B17,'2.3'!H$14:H$25)+SUMIF('2.4'!B$14:B$25,свод!B17,'2.4'!H$14:H$25)+SUMIF('2.5'!B$14:B$25,свод!B17,'2.5'!H$14:H$25)+SUMIF('2.6'!B$14:B$25,свод!B17,'2.6'!H$14:H$25)</f>
        <v>0</v>
      </c>
      <c r="I17" s="29">
        <f>SUMIF('2.1'!B$14:B$25,свод!B17,'2.1'!I$14:I$25)+SUMIF('2.2'!B$14:B$25,свод!B17,'2.2'!I$14:I$25)+SUMIF('2.3'!B$14:B$25,свод!B17,'2.3'!I$14:I$25)+SUMIF('2.4'!B$14:B$25,свод!B17,'2.4'!I$14:I$25)+SUMIF('2.5'!B$14:B$25,свод!B17,'2.5'!I$14:I$25)+SUMIF('2.6'!B$14:B$25,свод!B17,'2.6'!I$14:I$25)+SUMIF('3гпх'!B$15:B$26,свод!B17,'3гпх'!F$15:F$26)+SUMIF(дивид!B$15:B$26,свод!B17,дивид!G$15:G$26)</f>
        <v>0</v>
      </c>
      <c r="J17" s="29">
        <f>SUMIF('2.1'!B$14:B$25,свод!B17,'2.1'!J$14:J$25)+SUMIF('2.2'!B$14:B$25,свод!B17,'2.2'!J$14:J$25)+SUMIF('2.3'!B$14:B$25,свод!B17,'2.3'!J$14:J$25)+SUMIF('2.4'!B$14:B$25,свод!B17,'2.4'!J$14:J$25)+SUMIF('2.5'!B$14:B$25,свод!B17,'2.5'!J$14:J$25)+SUMIF('2.6'!B$14:B$25,свод!B17,'2.6'!J$14:J$25)+SUMIF('3гпх'!B$15:B$26,свод!B17,'3гпх'!J$15:J$26)+SUMIF(дивид!B$15:B$26,свод!B17,дивид!H$15:H$26)</f>
        <v>755500</v>
      </c>
      <c r="K17" s="29">
        <f>SUMIF('2.1'!B$14:B$25,свод!B17,'2.1'!K$14:K$25)+SUMIF('2.2'!B$14:B$25,свод!B17,'2.2'!K$14:K$25)+SUMIF('2.3'!B$14:B$25,свод!B17,'2.3'!K$14:K$25)+SUMIF('2.4'!B$14:B$25,свод!B17,'2.4'!K$14:K$25)+SUMIF('2.5'!B$14:B$25,свод!B17,'2.5'!K$14:K$25)+SUMIF('2.6'!B$14:B$25,свод!B17,'2.6'!K$14:K$25)+SUMIF('3гпх'!B$15:B$26,свод!B17,'3гпх'!L$15:L$26)+SUMIF(дивид!B$15:B$26,свод!B17,дивид!J$15:J$26)</f>
        <v>0</v>
      </c>
      <c r="L17" s="29">
        <f>SUMIF('2.1'!B$14:B$25,свод!B17,'2.1'!L$14:L$25)+SUMIF('2.2'!B$14:B$25,свод!B17,'2.2'!L$14:L$25)+SUMIF('2.3'!B$14:B$25,свод!B17,'2.3'!L$14:L$25)+SUMIF('2.4'!B$14:B$25,свод!B17,'2.4'!L$14:L$25)+SUMIF('2.5'!B$14:B$25,свод!B17,'2.5'!L$14:L$25)+SUMIF('2.6'!B$14:B$25,свод!B17,'2.6'!L$14:L$25)+SUMIF('3гпх'!B$15:B$26,свод!B17,'3гпх'!M$15:M$26)+SUMIF(дивид!B$15:B$26,свод!B17,дивид!K$15:K$26)</f>
        <v>75550</v>
      </c>
      <c r="M17" s="29">
        <f>SUMIF('2.1'!B$14:B$25,свод!B17,'2.1'!M$14:M$25)+SUMIF('2.2'!B$14:B$25,свод!B17,'2.2'!M$14:M$25)+SUMIF('2.3'!B$14:B$25,свод!B17,'2.3'!M$14:M$25)+SUMIF('2.4'!B$14:B$25,свод!B17,'2.4'!M$14:M$25)+SUMIF('2.5'!B$14:B$25,свод!B17,'2.5'!M$14:M$25)+SUMIF('2.6'!B$14:B$25,свод!B17,'2.6'!M$14:M$25)+SUMIF('3гпх'!B$15:B$26,свод!B17,'4гпх'!E$3:E$14)</f>
        <v>0</v>
      </c>
      <c r="N17" s="29">
        <f>SUMIF('2.1'!B$14:B$25,свод!B17,'2.1'!N$14:N$25)+SUMIF('2.2'!B$14:B$25,свод!B17,'2.2'!N$14:N$25)+SUMIF('2.3'!B$14:B$25,свод!B17,'2.3'!N$14:N$25)+SUMIF('2.4'!B$14:B$25,свод!B17,'2.4'!N$14:N$25)+SUMIF('2.5'!B$14:B$25,свод!B17,'2.5'!N$14:N$25)+SUMIF('2.6'!B$14:B$25,свод!B17,'2.6'!N$14:N$25)+SUMIF('3гпх'!B$15:B$26,свод!B17,'4гпх'!F$3:F$14)</f>
        <v>1100000</v>
      </c>
      <c r="O17" s="29"/>
      <c r="P17" s="29">
        <f>SUMIF('2.1'!B$14:B$25,свод!B17,'2.1'!P$14:P$25)+SUMIF('2.2'!B$14:B$25,свод!B17,'2.2'!P$14:P$25)+SUMIF('2.3'!B$14:B$25,свод!B17,'2.3'!P$14:P$25)+SUMIF('2.4'!B$14:B$25,свод!B17,'2.4'!P$14:P$25)+SUMIF('2.5'!B$14:B$25,свод!B17,'2.5'!P$14:P$25)+SUMIF('2.6'!B$14:B$25,свод!B17,'2.6'!P$14:P$25)+SUMIF('3гпх'!B$15:B$26,свод!B17,'3гпх'!G$15:G$26)</f>
        <v>110000</v>
      </c>
      <c r="Q17" s="29">
        <f>SUMIF('2.1'!B$14:B$25,свод!B17,'2.1'!Q$14:Q$25)+SUMIF('2.2'!B$14:B$25,свод!B17,'2.2'!Q$14:Q$25)+SUMIF('2.3'!B$14:B$25,свод!B17,'2.3'!Q$14:Q$25)+SUMIF('2.4'!B$14:B$25,свод!B17,'2.4'!Q$14:Q$25)+SUMIF('2.5'!B$14:B$25,свод!B17,'2.5'!Q$14:Q$25)+SUMIF('2.6'!B$14:B$25,свод!B17,'2.6'!Q$14:Q$25)</f>
        <v>0</v>
      </c>
      <c r="R17" s="29">
        <f>SUMIF('2.1'!B$14:B$25,свод!B17,'2.1'!R$14:R$25)+SUMIF('2.2'!B$14:B$25,свод!B17,'2.2'!R$14:R$25)+SUMIF('2.3'!B$14:B$25,свод!B17,'2.3'!R$14:R$25)+SUMIF('2.4'!B$14:B$25,свод!B17,'2.4'!R$14:R$25)+SUMIF('2.5'!B$14:B$25,свод!B17,'2.5'!R$14:R$25)+SUMIF('2.6'!B$14:B$25,свод!B17,'2.6'!R$14:R$25)</f>
        <v>990000</v>
      </c>
      <c r="S17" s="29">
        <f>SUMIF('2.1'!B$14:B$25,свод!B17,'2.1'!S$14:S$25)+SUMIF('2.2'!B$14:B$25,свод!B17,'2.2'!S$14:S$25)+SUMIF('2.3'!B$14:B$25,свод!B17,'2.3'!S$14:S$25)+SUMIF('2.4'!B$14:B$25,свод!B17,'2.4'!S$14:S$25)+SUMIF('2.5'!B$14:B$25,свод!B17,'2.5'!S$14:S$25)+SUMIF('2.6'!B$14:B$25,свод!B17,'2.6'!S$14:S$25)</f>
        <v>990000</v>
      </c>
      <c r="T17" s="29">
        <f>SUMIF('2.1'!B$14:B$25,свод!B17,'2.1'!T$14:T$25)+SUMIF('2.2'!B$14:B$25,свод!B17,'2.2'!T$14:T$25)+SUMIF('2.3'!B$14:B$25,свод!B17,'2.3'!T$14:T$25)+SUMIF('2.4'!B$14:B$25,свод!B17,'2.4'!T$14:T$25)+SUMIF('2.5'!B$14:B$25,свод!B17,'2.5'!T$14:T$25)+SUMIF('2.6'!B$14:B$25,свод!B17,'2.6'!T$14:T$25)</f>
        <v>34650</v>
      </c>
      <c r="U17" s="29">
        <f>SUMIF('2.1'!B$14:B$25,свод!B17,'2.1'!U$14:U$25)+SUMIF('2.2'!B$14:B$25,свод!B17,'2.2'!U$14:U$25)+SUMIF('2.3'!B$14:B$25,свод!B17,'2.3'!U$14:U$25)+SUMIF('2.4'!B$14:B$25,свод!B17,'2.4'!U$14:U$25)+SUMIF('2.5'!B$14:B$25,свод!B17,'2.5'!U$14:U$25)+SUMIF('2.6'!B$14:B$25,свод!B17,'2.6'!U$14:U$25)</f>
        <v>0</v>
      </c>
      <c r="V17" s="29">
        <f>SUMIF('2.1'!B$14:B$25,свод!B17,'2.1'!V$14:V$25)+SUMIF('2.2'!B$14:B$25,свод!B17,'2.2'!V$14:V$25)+SUMIF('2.3'!B$14:B$25,свод!B17,'2.3'!V$14:V$25)+SUMIF('2.4'!B$14:B$25,свод!B17,'2.4'!V$14:V$25)+SUMIF('2.5'!B$14:B$25,свод!B17,'2.5'!V$14:V$25)+SUMIF('2.6'!B$14:B$25,свод!B17,'2.6'!V$14:V$25)</f>
        <v>0</v>
      </c>
      <c r="W17" s="34"/>
      <c r="X17" s="64"/>
      <c r="Y17" s="10"/>
      <c r="Z17" s="29">
        <f>SUMIF('2.1'!B$14:B$25,свод!B17,'2.1'!Z$14:Z$25)+SUMIF('2.2'!B$14:B$25,свод!B17,'2.2'!Z$14:Z$25)+SUMIF('2.3'!B$14:B$25,свод!B17,'2.3'!Z$14:Z$25)+SUMIF('2.4'!B$14:B$25,свод!B17,'2.4'!Z$14:Z$25)+SUMIF('2.5'!B$14:B$25,свод!B17,'2.5'!Z$14:Z$25)+SUMIF('2.6'!B$14:B$25,свод!B17,'2.6'!Z$14:Z$25)+SUMIF('3гпх'!B$15:B$26,свод!B17,'4гпх'!D$3:D$14)</f>
        <v>1100000</v>
      </c>
      <c r="AA17" s="29">
        <f>SUMIF('2.1'!B$14:B$25,свод!B17,'2.1'!AA$14:AA$25)+SUMIF('2.2'!B$14:B$25,свод!B17,'2.2'!AA$14:AA$25)+SUMIF('2.3'!B$14:B$25,свод!B17,'2.3'!AA$14:AA$25)+SUMIF('2.4'!B$14:B$25,свод!B17,'2.4'!AA$14:AA$25)+SUMIF('2.5'!B$14:B$25,свод!B17,'2.5'!AA$14:AA$25)+SUMIF('2.6'!B$14:B$25,свод!B17,'2.6'!AA$14:AA$25)+SUMIF('3гпх'!B$15:B$26,свод!B17,'4гпх'!I$3:I$14)</f>
        <v>1100000</v>
      </c>
      <c r="AB17" s="29">
        <f>SUMIF('2.1'!B$14:B$25,свод!B17,'2.1'!AB$14:AB$25)+SUMIF('2.2'!B$14:B$25,свод!B17,'2.2'!AB$14:AB$25)+SUMIF('2.3'!B$14:B$25,свод!B17,'2.3'!AB$14:AB$25)+SUMIF('2.4'!B$14:B$25,свод!B17,'2.4'!AB$14:AB$25)+SUMIF('2.5'!B$14:B$25,свод!B17,'2.5'!AB$14:AB$25)+SUMIF('2.6'!B$14:B$25,свод!B17,'2.6'!AB$14:AB$25)</f>
        <v>22000</v>
      </c>
      <c r="AC17" s="29">
        <f>SUMIF('2.1'!B$14:B$25,свод!B17,'2.1'!AC$14:AC$25)+SUMIF('2.2'!B$14:B$25,свод!B17,'2.2'!AC$14:AC$25)+SUMIF('2.3'!B$14:B$25,свод!B17,'2.3'!AC$14:AC$25)+SUMIF('2.4'!B$14:B$25,свод!B17,'2.4'!AC$14:AC$25)+SUMIF('2.5'!B$14:B$25,свод!B17,'2.5'!AC$14:AC$25)+SUMIF('2.6'!B$14:B$25,свод!B17,'2.6'!AC$14:AC$25)+SUMIF('3гпх'!B$15:B$26,свод!B17,'3гпх'!H$15:H$26)</f>
        <v>22000</v>
      </c>
      <c r="AD17" s="34"/>
      <c r="AE17" s="29">
        <f>SUMIF('2.1'!B$14:B$25,свод!B17,'2.1'!AE$14:AE$25)+SUMIF('2.2'!B$14:B$25,свод!B17,'2.2'!AE$14:AE$25)+SUMIF('2.3'!B$14:B$25,свод!B17,'2.3'!AE$14:AE$25)+SUMIF('2.4'!B$14:B$25,свод!B17,'2.4'!AE$14:AE$25)+SUMIF('2.5'!B$14:B$25,свод!B17,'2.5'!AE$14:AE$25)+SUMIF('2.6'!B$14:B$25,свод!B17,'2.6'!AE$14:AE$25)+SUMIF('3гпх'!B$15:B$26,свод!B17,'3гпх'!AM$15:AM$26)+SUMIF(дивид!B$15:B$26,свод!B17,дивид!AK$15:AK$26)</f>
        <v>0</v>
      </c>
      <c r="AF17" s="29">
        <f>SUMIF('2.1'!B$14:B$25,свод!B17,'2.1'!AF$14:AF$25)+SUMIF('2.2'!B$14:B$25,свод!B17,'2.2'!AF$14:AF$25)+SUMIF('2.3'!B$14:B$25,свод!B17,'2.3'!AF$14:AF$25)+SUMIF('2.4'!B$14:B$25,свод!B17,'2.4'!AF$14:AF$25)+SUMIF('2.5'!B$14:B$25,свод!B17,'2.5'!AF$14:AF$25)+SUMIF('2.6'!B$14:B$25,свод!B17,'2.6'!AF$14:AF$25)+SUMIF('3гпх'!B$15:B$26,свод!B17,'3гпх'!AN$15:AN$26)+SUMIF(дивид!B$15:B$26,свод!B17,дивид!AL$15:AL$26)</f>
        <v>1100000</v>
      </c>
    </row>
    <row r="18" spans="1:32" x14ac:dyDescent="0.2">
      <c r="A18" s="26">
        <v>5</v>
      </c>
      <c r="B18" s="26" t="s">
        <v>370</v>
      </c>
      <c r="C18" s="28">
        <v>1</v>
      </c>
      <c r="D18" s="29">
        <f>SUMIF('2.1'!B$14:B$25,свод!B18,'2.1'!D$14:D$25)+SUMIF('2.2'!B$14:B$25,свод!B18,'2.2'!D$14:D$25)+SUMIF('2.3'!B$14:B$25,свод!B18,'2.3'!D$14:D$25)+SUMIF('2.4'!B$14:B$25,свод!B18,'2.4'!D$14:D$25)+SUMIF('2.5'!B$14:B$25,свод!B18,'2.5'!D$14:D$25)+SUMIF('2.6'!B$14:B$25,свод!B18,'2.6'!D$14:D$25)+SUMIF('3гпх'!B$15:B$26,свод!B18,'3гпх'!E$15:E$26)+SUMIF(дивид!B$15:B$26,свод!B18,дивид!F$15:F$26)</f>
        <v>160000</v>
      </c>
      <c r="E18" s="29">
        <f>SUMIF('2.1'!B$14:B$25,свод!B18,'2.1'!E$14:E$25)+SUMIF('2.2'!B$14:B$25,свод!B18,'2.2'!E$14:E$25)+SUMIF('2.3'!B$14:B$25,свод!B18,'2.3'!E$14:E$25)+SUMIF('2.4'!B$14:B$25,свод!B18,'2.4'!E$14:E$25)+SUMIF('2.5'!B$14:B$25,свод!B18,'2.5'!E$14:E$25)+SUMIF('2.6'!B$14:B$25,свод!B18,'2.6'!E$14:E$25)</f>
        <v>0</v>
      </c>
      <c r="F18" s="29">
        <f>SUMIF('2.1'!B$14:B$25,свод!B18,'2.1'!AC$14:AC$25)+SUMIF('2.2'!B$14:B$25,свод!B18,'2.2'!AC$14:AC$25)+SUMIF('2.3'!B$14:B$25,свод!B18,'2.3'!AC$14:AC$25)+SUMIF('2.4'!B$14:B$25,свод!B18,'2.4'!AC$14:AC$25)+SUMIF('2.5'!B$14:B$25,свод!B18,'2.5'!AC$14:AC$25)+SUMIF('2.6'!B$14:B$25,свод!B18,'2.6'!AC$14:AC$25)+SUMIF('3гпх'!B$15:B$26,свод!B18,'3гпх'!H$15:H$26)</f>
        <v>3200</v>
      </c>
      <c r="G18" s="29">
        <f>SUMIF('2.1'!B$14:B$25,свод!B18,'2.1'!G$14:G$25)+SUMIF('2.2'!B$14:B$25,свод!B18,'2.2'!G$14:G$25)+SUMIF('2.3'!B$14:B$25,свод!B18,'2.3'!G$14:G$25)+SUMIF('2.4'!B$14:B$25,свод!B18,'2.4'!G$14:G$25)+SUMIF('2.5'!B$14:B$25,свод!B18,'2.5'!G$14:G$25)+SUMIF('2.6'!B$14:B$25,свод!B18,'2.6'!G$14:G$25)+SUMIF('3гпх'!B$15:B$26,свод!B18,'3гпх'!I$15:I$26)</f>
        <v>0</v>
      </c>
      <c r="H18" s="29">
        <f>SUMIF('2.1'!B$14:B$25,свод!B18,'2.1'!H$14:H$25)+SUMIF('2.2'!B$14:B$25,свод!B18,'2.2'!H$14:H$25)+SUMIF('2.3'!B$14:B$25,свод!B18,'2.3'!H$14:H$25)+SUMIF('2.4'!B$14:B$25,свод!B18,'2.4'!H$14:H$25)+SUMIF('2.5'!B$14:B$25,свод!B18,'2.5'!H$14:H$25)+SUMIF('2.6'!B$14:B$25,свод!B18,'2.6'!H$14:H$25)</f>
        <v>0</v>
      </c>
      <c r="I18" s="29">
        <f>SUMIF('2.1'!B$14:B$25,свод!B18,'2.1'!I$14:I$25)+SUMIF('2.2'!B$14:B$25,свод!B18,'2.2'!I$14:I$25)+SUMIF('2.3'!B$14:B$25,свод!B18,'2.3'!I$14:I$25)+SUMIF('2.4'!B$14:B$25,свод!B18,'2.4'!I$14:I$25)+SUMIF('2.5'!B$14:B$25,свод!B18,'2.5'!I$14:I$25)+SUMIF('2.6'!B$14:B$25,свод!B18,'2.6'!I$14:I$25)+SUMIF('3гпх'!B$15:B$26,свод!B18,'3гпх'!F$15:F$26)+SUMIF(дивид!B$15:B$26,свод!B18,дивид!G$15:G$26)</f>
        <v>0</v>
      </c>
      <c r="J18" s="29">
        <f>SUMIF('2.1'!B$14:B$25,свод!B18,'2.1'!J$14:J$25)+SUMIF('2.2'!B$14:B$25,свод!B18,'2.2'!J$14:J$25)+SUMIF('2.3'!B$14:B$25,свод!B18,'2.3'!J$14:J$25)+SUMIF('2.4'!B$14:B$25,свод!B18,'2.4'!J$14:J$25)+SUMIF('2.5'!B$14:B$25,свод!B18,'2.5'!J$14:J$25)+SUMIF('2.6'!B$14:B$25,свод!B18,'2.6'!J$14:J$25)+SUMIF('3гпх'!B$15:B$26,свод!B18,'3гпх'!J$15:J$26)+SUMIF(дивид!B$15:B$26,свод!B18,дивид!H$15:H$26)</f>
        <v>140800</v>
      </c>
      <c r="K18" s="29">
        <f>SUMIF('2.1'!B$14:B$25,свод!B18,'2.1'!K$14:K$25)+SUMIF('2.2'!B$14:B$25,свод!B18,'2.2'!K$14:K$25)+SUMIF('2.3'!B$14:B$25,свод!B18,'2.3'!K$14:K$25)+SUMIF('2.4'!B$14:B$25,свод!B18,'2.4'!K$14:K$25)+SUMIF('2.5'!B$14:B$25,свод!B18,'2.5'!K$14:K$25)+SUMIF('2.6'!B$14:B$25,свод!B18,'2.6'!K$14:K$25)+SUMIF('3гпх'!B$15:B$26,свод!B18,'3гпх'!L$15:L$26)+SUMIF(дивид!B$15:B$26,свод!B18,дивид!J$15:J$26)</f>
        <v>14080</v>
      </c>
      <c r="L18" s="29">
        <f>SUMIF('2.1'!B$14:B$25,свод!B18,'2.1'!L$14:L$25)+SUMIF('2.2'!B$14:B$25,свод!B18,'2.2'!L$14:L$25)+SUMIF('2.3'!B$14:B$25,свод!B18,'2.3'!L$14:L$25)+SUMIF('2.4'!B$14:B$25,свод!B18,'2.4'!L$14:L$25)+SUMIF('2.5'!B$14:B$25,свод!B18,'2.5'!L$14:L$25)+SUMIF('2.6'!B$14:B$25,свод!B18,'2.6'!L$14:L$25)+SUMIF('3гпх'!B$15:B$26,свод!B18,'3гпх'!M$15:M$26)+SUMIF(дивид!B$15:B$26,свод!B18,дивид!K$15:K$26)</f>
        <v>0</v>
      </c>
      <c r="M18" s="29">
        <f>SUMIF('2.1'!B$14:B$25,свод!B18,'2.1'!M$14:M$25)+SUMIF('2.2'!B$14:B$25,свод!B18,'2.2'!M$14:M$25)+SUMIF('2.3'!B$14:B$25,свод!B18,'2.3'!M$14:M$25)+SUMIF('2.4'!B$14:B$25,свод!B18,'2.4'!M$14:M$25)+SUMIF('2.5'!B$14:B$25,свод!B18,'2.5'!M$14:M$25)+SUMIF('2.6'!B$14:B$25,свод!B18,'2.6'!M$14:M$25)+SUMIF('3гпх'!B$15:B$26,свод!B18,'4гпх'!E$3:E$14)</f>
        <v>0</v>
      </c>
      <c r="N18" s="29">
        <f>SUMIF('2.1'!B$14:B$25,свод!B18,'2.1'!N$14:N$25)+SUMIF('2.2'!B$14:B$25,свод!B18,'2.2'!N$14:N$25)+SUMIF('2.3'!B$14:B$25,свод!B18,'2.3'!N$14:N$25)+SUMIF('2.4'!B$14:B$25,свод!B18,'2.4'!N$14:N$25)+SUMIF('2.5'!B$14:B$25,свод!B18,'2.5'!N$14:N$25)+SUMIF('2.6'!B$14:B$25,свод!B18,'2.6'!N$14:N$25)+SUMIF('3гпх'!B$15:B$26,свод!B18,'4гпх'!F$3:F$14)</f>
        <v>160000</v>
      </c>
      <c r="O18" s="29"/>
      <c r="P18" s="29">
        <f>SUMIF('2.1'!B$14:B$25,свод!B18,'2.1'!P$14:P$25)+SUMIF('2.2'!B$14:B$25,свод!B18,'2.2'!P$14:P$25)+SUMIF('2.3'!B$14:B$25,свод!B18,'2.3'!P$14:P$25)+SUMIF('2.4'!B$14:B$25,свод!B18,'2.4'!P$14:P$25)+SUMIF('2.5'!B$14:B$25,свод!B18,'2.5'!P$14:P$25)+SUMIF('2.6'!B$14:B$25,свод!B18,'2.6'!P$14:P$25)+SUMIF('3гпх'!B$15:B$26,свод!B18,'3гпх'!G$15:G$26)</f>
        <v>16000</v>
      </c>
      <c r="Q18" s="29">
        <f>SUMIF('2.1'!B$14:B$25,свод!B18,'2.1'!Q$14:Q$25)+SUMIF('2.2'!B$14:B$25,свод!B18,'2.2'!Q$14:Q$25)+SUMIF('2.3'!B$14:B$25,свод!B18,'2.3'!Q$14:Q$25)+SUMIF('2.4'!B$14:B$25,свод!B18,'2.4'!Q$14:Q$25)+SUMIF('2.5'!B$14:B$25,свод!B18,'2.5'!Q$14:Q$25)+SUMIF('2.6'!B$14:B$25,свод!B18,'2.6'!Q$14:Q$25)</f>
        <v>0</v>
      </c>
      <c r="R18" s="29">
        <f>SUMIF('2.1'!B$14:B$25,свод!B18,'2.1'!R$14:R$25)+SUMIF('2.2'!B$14:B$25,свод!B18,'2.2'!R$14:R$25)+SUMIF('2.3'!B$14:B$25,свод!B18,'2.3'!R$14:R$25)+SUMIF('2.4'!B$14:B$25,свод!B18,'2.4'!R$14:R$25)+SUMIF('2.5'!B$14:B$25,свод!B18,'2.5'!R$14:R$25)+SUMIF('2.6'!B$14:B$25,свод!B18,'2.6'!R$14:R$25)</f>
        <v>0</v>
      </c>
      <c r="S18" s="29">
        <f>SUMIF('2.1'!B$14:B$25,свод!B18,'2.1'!S$14:S$25)+SUMIF('2.2'!B$14:B$25,свод!B18,'2.2'!S$14:S$25)+SUMIF('2.3'!B$14:B$25,свод!B18,'2.3'!S$14:S$25)+SUMIF('2.4'!B$14:B$25,свод!B18,'2.4'!S$14:S$25)+SUMIF('2.5'!B$14:B$25,свод!B18,'2.5'!S$14:S$25)+SUMIF('2.6'!B$14:B$25,свод!B18,'2.6'!S$14:S$25)</f>
        <v>0</v>
      </c>
      <c r="T18" s="29">
        <f>SUMIF('2.1'!B$14:B$25,свод!B18,'2.1'!T$14:T$25)+SUMIF('2.2'!B$14:B$25,свод!B18,'2.2'!T$14:T$25)+SUMIF('2.3'!B$14:B$25,свод!B18,'2.3'!T$14:T$25)+SUMIF('2.4'!B$14:B$25,свод!B18,'2.4'!T$14:T$25)+SUMIF('2.5'!B$14:B$25,свод!B18,'2.5'!T$14:T$25)+SUMIF('2.6'!B$14:B$25,свод!B18,'2.6'!T$14:T$25)</f>
        <v>0</v>
      </c>
      <c r="U18" s="29">
        <f>SUMIF('2.1'!B$14:B$25,свод!B18,'2.1'!U$14:U$25)+SUMIF('2.2'!B$14:B$25,свод!B18,'2.2'!U$14:U$25)+SUMIF('2.3'!B$14:B$25,свод!B18,'2.3'!U$14:U$25)+SUMIF('2.4'!B$14:B$25,свод!B18,'2.4'!U$14:U$25)+SUMIF('2.5'!B$14:B$25,свод!B18,'2.5'!U$14:U$25)+SUMIF('2.6'!B$14:B$25,свод!B18,'2.6'!U$14:U$25)</f>
        <v>0</v>
      </c>
      <c r="V18" s="29">
        <f>SUMIF('2.1'!B$14:B$25,свод!B18,'2.1'!V$14:V$25)+SUMIF('2.2'!B$14:B$25,свод!B18,'2.2'!V$14:V$25)+SUMIF('2.3'!B$14:B$25,свод!B18,'2.3'!V$14:V$25)+SUMIF('2.4'!B$14:B$25,свод!B18,'2.4'!V$14:V$25)+SUMIF('2.5'!B$14:B$25,свод!B18,'2.5'!V$14:V$25)+SUMIF('2.6'!B$14:B$25,свод!B18,'2.6'!V$14:V$25)</f>
        <v>0</v>
      </c>
      <c r="W18" s="34"/>
      <c r="X18" s="64"/>
      <c r="Y18" s="10"/>
      <c r="Z18" s="29">
        <f>SUMIF('2.1'!B$14:B$25,свод!B18,'2.1'!Z$14:Z$25)+SUMIF('2.2'!B$14:B$25,свод!B18,'2.2'!Z$14:Z$25)+SUMIF('2.3'!B$14:B$25,свод!B18,'2.3'!Z$14:Z$25)+SUMIF('2.4'!B$14:B$25,свод!B18,'2.4'!Z$14:Z$25)+SUMIF('2.5'!B$14:B$25,свод!B18,'2.5'!Z$14:Z$25)+SUMIF('2.6'!B$14:B$25,свод!B18,'2.6'!Z$14:Z$25)+SUMIF('3гпх'!B$15:B$26,свод!B18,'4гпх'!D$3:D$14)</f>
        <v>160000</v>
      </c>
      <c r="AA18" s="29">
        <f>SUMIF('2.1'!B$14:B$25,свод!B18,'2.1'!AA$14:AA$25)+SUMIF('2.2'!B$14:B$25,свод!B18,'2.2'!AA$14:AA$25)+SUMIF('2.3'!B$14:B$25,свод!B18,'2.3'!AA$14:AA$25)+SUMIF('2.4'!B$14:B$25,свод!B18,'2.4'!AA$14:AA$25)+SUMIF('2.5'!B$14:B$25,свод!B18,'2.5'!AA$14:AA$25)+SUMIF('2.6'!B$14:B$25,свод!B18,'2.6'!AA$14:AA$25)+SUMIF('3гпх'!B$15:B$26,свод!B18,'4гпх'!I$3:I$14)</f>
        <v>160000</v>
      </c>
      <c r="AB18" s="29">
        <f>SUMIF('2.1'!B$14:B$25,свод!B18,'2.1'!AB$14:AB$25)+SUMIF('2.2'!B$14:B$25,свод!B18,'2.2'!AB$14:AB$25)+SUMIF('2.3'!B$14:B$25,свод!B18,'2.3'!AB$14:AB$25)+SUMIF('2.4'!B$14:B$25,свод!B18,'2.4'!AB$14:AB$25)+SUMIF('2.5'!B$14:B$25,свод!B18,'2.5'!AB$14:AB$25)+SUMIF('2.6'!B$14:B$25,свод!B18,'2.6'!AB$14:AB$25)</f>
        <v>0</v>
      </c>
      <c r="AC18" s="29">
        <f>SUMIF('2.1'!B$14:B$25,свод!B18,'2.1'!AC$14:AC$25)+SUMIF('2.2'!B$14:B$25,свод!B18,'2.2'!AC$14:AC$25)+SUMIF('2.3'!B$14:B$25,свод!B18,'2.3'!AC$14:AC$25)+SUMIF('2.4'!B$14:B$25,свод!B18,'2.4'!AC$14:AC$25)+SUMIF('2.5'!B$14:B$25,свод!B18,'2.5'!AC$14:AC$25)+SUMIF('2.6'!B$14:B$25,свод!B18,'2.6'!AC$14:AC$25)+SUMIF('3гпх'!B$15:B$26,свод!B18,'3гпх'!H$15:H$26)</f>
        <v>3200</v>
      </c>
      <c r="AD18" s="34"/>
      <c r="AE18" s="29">
        <f>SUMIF('2.1'!B$14:B$25,свод!B18,'2.1'!AE$14:AE$25)+SUMIF('2.2'!B$14:B$25,свод!B18,'2.2'!AE$14:AE$25)+SUMIF('2.3'!B$14:B$25,свод!B18,'2.3'!AE$14:AE$25)+SUMIF('2.4'!B$14:B$25,свод!B18,'2.4'!AE$14:AE$25)+SUMIF('2.5'!B$14:B$25,свод!B18,'2.5'!AE$14:AE$25)+SUMIF('2.6'!B$14:B$25,свод!B18,'2.6'!AE$14:AE$25)+SUMIF('3гпх'!B$15:B$26,свод!B18,'3гпх'!AM$15:AM$26)+SUMIF(дивид!B$15:B$26,свод!B18,дивид!AK$15:AK$26)</f>
        <v>160000</v>
      </c>
      <c r="AF18" s="29">
        <f>SUMIF('2.1'!B$14:B$25,свод!B18,'2.1'!AF$14:AF$25)+SUMIF('2.2'!B$14:B$25,свод!B18,'2.2'!AF$14:AF$25)+SUMIF('2.3'!B$14:B$25,свод!B18,'2.3'!AF$14:AF$25)+SUMIF('2.4'!B$14:B$25,свод!B18,'2.4'!AF$14:AF$25)+SUMIF('2.5'!B$14:B$25,свод!B18,'2.5'!AF$14:AF$25)+SUMIF('2.6'!B$14:B$25,свод!B18,'2.6'!AF$14:AF$25)+SUMIF('3гпх'!B$15:B$26,свод!B18,'3гпх'!AN$15:AN$26)+SUMIF(дивид!B$15:B$26,свод!B18,дивид!AL$15:AL$26)</f>
        <v>0</v>
      </c>
    </row>
    <row r="19" spans="1:32" x14ac:dyDescent="0.2">
      <c r="A19" s="26">
        <v>6</v>
      </c>
      <c r="B19" s="26" t="s">
        <v>363</v>
      </c>
      <c r="C19" s="28">
        <v>3</v>
      </c>
      <c r="D19" s="29">
        <f>SUMIF('2.1'!B$14:B$25,свод!B19,'2.1'!D$14:D$25)+SUMIF('2.2'!B$14:B$25,свод!B19,'2.2'!D$14:D$25)+SUMIF('2.3'!B$14:B$25,свод!B19,'2.3'!D$14:D$25)+SUMIF('2.4'!B$14:B$25,свод!B19,'2.4'!D$14:D$25)+SUMIF('2.5'!B$14:B$25,свод!B19,'2.5'!D$14:D$25)+SUMIF('2.6'!B$14:B$25,свод!B19,'2.6'!D$14:D$25)+SUMIF('3гпх'!B$15:B$26,свод!B19,'3гпх'!E$15:E$26)+SUMIF(дивид!B$15:B$26,свод!B19,дивид!F$15:F$26)</f>
        <v>1500000</v>
      </c>
      <c r="E19" s="29">
        <f>SUMIF('2.1'!B$14:B$25,свод!B19,'2.1'!E$14:E$25)+SUMIF('2.2'!B$14:B$25,свод!B19,'2.2'!E$14:E$25)+SUMIF('2.3'!B$14:B$25,свод!B19,'2.3'!E$14:E$25)+SUMIF('2.4'!B$14:B$25,свод!B19,'2.4'!E$14:E$25)+SUMIF('2.5'!B$14:B$25,свод!B19,'2.5'!E$14:E$25)+SUMIF('2.6'!B$14:B$25,свод!B19,'2.6'!E$14:E$25)</f>
        <v>0</v>
      </c>
      <c r="F19" s="29">
        <f>SUMIF('2.1'!B$14:B$25,свод!B19,'2.1'!AC$14:AC$25)+SUMIF('2.2'!B$14:B$25,свод!B19,'2.2'!AC$14:AC$25)+SUMIF('2.3'!B$14:B$25,свод!B19,'2.3'!AC$14:AC$25)+SUMIF('2.4'!B$14:B$25,свод!B19,'2.4'!AC$14:AC$25)+SUMIF('2.5'!B$14:B$25,свод!B19,'2.5'!AC$14:AC$25)+SUMIF('2.6'!B$14:B$25,свод!B19,'2.6'!AC$14:AC$25)+SUMIF('3гпх'!B$15:B$26,свод!B19,'3гпх'!H$15:H$26)</f>
        <v>0</v>
      </c>
      <c r="G19" s="29">
        <f>SUMIF('2.1'!B$14:B$25,свод!B19,'2.1'!G$14:G$25)+SUMIF('2.2'!B$14:B$25,свод!B19,'2.2'!G$14:G$25)+SUMIF('2.3'!B$14:B$25,свод!B19,'2.3'!G$14:G$25)+SUMIF('2.4'!B$14:B$25,свод!B19,'2.4'!G$14:G$25)+SUMIF('2.5'!B$14:B$25,свод!B19,'2.5'!G$14:G$25)+SUMIF('2.6'!B$14:B$25,свод!B19,'2.6'!G$14:G$25)+SUMIF('3гпх'!B$15:B$26,свод!B19,'3гпх'!I$15:I$26)</f>
        <v>0</v>
      </c>
      <c r="H19" s="29">
        <f>SUMIF('2.1'!B$14:B$25,свод!B19,'2.1'!H$14:H$25)+SUMIF('2.2'!B$14:B$25,свод!B19,'2.2'!H$14:H$25)+SUMIF('2.3'!B$14:B$25,свод!B19,'2.3'!H$14:H$25)+SUMIF('2.4'!B$14:B$25,свод!B19,'2.4'!H$14:H$25)+SUMIF('2.5'!B$14:B$25,свод!B19,'2.5'!H$14:H$25)+SUMIF('2.6'!B$14:B$25,свод!B19,'2.6'!H$14:H$25)</f>
        <v>0</v>
      </c>
      <c r="I19" s="29">
        <f>SUMIF('2.1'!B$14:B$25,свод!B19,'2.1'!I$14:I$25)+SUMIF('2.2'!B$14:B$25,свод!B19,'2.2'!I$14:I$25)+SUMIF('2.3'!B$14:B$25,свод!B19,'2.3'!I$14:I$25)+SUMIF('2.4'!B$14:B$25,свод!B19,'2.4'!I$14:I$25)+SUMIF('2.5'!B$14:B$25,свод!B19,'2.5'!I$14:I$25)+SUMIF('2.6'!B$14:B$25,свод!B19,'2.6'!I$14:I$25)+SUMIF('3гпх'!B$15:B$26,свод!B19,'3гпх'!F$15:F$26)+SUMIF(дивид!B$15:B$26,свод!B19,дивид!G$15:G$26)</f>
        <v>0</v>
      </c>
      <c r="J19" s="29">
        <f>SUMIF('2.1'!B$14:B$25,свод!B19,'2.1'!J$14:J$25)+SUMIF('2.2'!B$14:B$25,свод!B19,'2.2'!J$14:J$25)+SUMIF('2.3'!B$14:B$25,свод!B19,'2.3'!J$14:J$25)+SUMIF('2.4'!B$14:B$25,свод!B19,'2.4'!J$14:J$25)+SUMIF('2.5'!B$14:B$25,свод!B19,'2.5'!J$14:J$25)+SUMIF('2.6'!B$14:B$25,свод!B19,'2.6'!J$14:J$25)+SUMIF('3гпх'!B$15:B$26,свод!B19,'3гпх'!J$15:J$26)+SUMIF(дивид!B$15:B$26,свод!B19,дивид!H$15:H$26)</f>
        <v>1500000</v>
      </c>
      <c r="K19" s="29">
        <f>SUMIF('2.1'!B$14:B$25,свод!B19,'2.1'!K$14:K$25)+SUMIF('2.2'!B$14:B$25,свод!B19,'2.2'!K$14:K$25)+SUMIF('2.3'!B$14:B$25,свод!B19,'2.3'!K$14:K$25)+SUMIF('2.4'!B$14:B$25,свод!B19,'2.4'!K$14:K$25)+SUMIF('2.5'!B$14:B$25,свод!B19,'2.5'!K$14:K$25)+SUMIF('2.6'!B$14:B$25,свод!B19,'2.6'!K$14:K$25)+SUMIF('3гпх'!B$15:B$26,свод!B19,'3гпх'!L$15:L$26)+SUMIF(дивид!B$15:B$26,свод!B19,дивид!J$15:J$26)</f>
        <v>0</v>
      </c>
      <c r="L19" s="29">
        <f>SUMIF('2.1'!B$14:B$25,свод!B19,'2.1'!L$14:L$25)+SUMIF('2.2'!B$14:B$25,свод!B19,'2.2'!L$14:L$25)+SUMIF('2.3'!B$14:B$25,свод!B19,'2.3'!L$14:L$25)+SUMIF('2.4'!B$14:B$25,свод!B19,'2.4'!L$14:L$25)+SUMIF('2.5'!B$14:B$25,свод!B19,'2.5'!L$14:L$25)+SUMIF('2.6'!B$14:B$25,свод!B19,'2.6'!L$14:L$25)+SUMIF('3гпх'!B$15:B$26,свод!B19,'3гпх'!M$15:M$26)+SUMIF(дивид!B$15:B$26,свод!B19,дивид!K$15:K$26)</f>
        <v>225000</v>
      </c>
      <c r="M19" s="29">
        <f>SUMIF('2.1'!B$14:B$25,свод!B19,'2.1'!M$14:M$25)+SUMIF('2.2'!B$14:B$25,свод!B19,'2.2'!M$14:M$25)+SUMIF('2.3'!B$14:B$25,свод!B19,'2.3'!M$14:M$25)+SUMIF('2.4'!B$14:B$25,свод!B19,'2.4'!M$14:M$25)+SUMIF('2.5'!B$14:B$25,свод!B19,'2.5'!M$14:M$25)+SUMIF('2.6'!B$14:B$25,свод!B19,'2.6'!M$14:M$25)+SUMIF('3гпх'!B$15:B$26,свод!B19,'4гпх'!E$3:E$14)</f>
        <v>0</v>
      </c>
      <c r="N19" s="29">
        <f>SUMIF('2.1'!B$14:B$25,свод!B19,'2.1'!N$14:N$25)+SUMIF('2.2'!B$14:B$25,свод!B19,'2.2'!N$14:N$25)+SUMIF('2.3'!B$14:B$25,свод!B19,'2.3'!N$14:N$25)+SUMIF('2.4'!B$14:B$25,свод!B19,'2.4'!N$14:N$25)+SUMIF('2.5'!B$14:B$25,свод!B19,'2.5'!N$14:N$25)+SUMIF('2.6'!B$14:B$25,свод!B19,'2.6'!N$14:N$25)+SUMIF('3гпх'!B$15:B$26,свод!B19,'4гпх'!F$3:F$14)</f>
        <v>0</v>
      </c>
      <c r="O19" s="29"/>
      <c r="P19" s="29">
        <f>SUMIF('2.1'!B$14:B$25,свод!B19,'2.1'!P$14:P$25)+SUMIF('2.2'!B$14:B$25,свод!B19,'2.2'!P$14:P$25)+SUMIF('2.3'!B$14:B$25,свод!B19,'2.3'!P$14:P$25)+SUMIF('2.4'!B$14:B$25,свод!B19,'2.4'!P$14:P$25)+SUMIF('2.5'!B$14:B$25,свод!B19,'2.5'!P$14:P$25)+SUMIF('2.6'!B$14:B$25,свод!B19,'2.6'!P$14:P$25)+SUMIF('3гпх'!B$15:B$26,свод!B19,'3гпх'!G$15:G$26)</f>
        <v>0</v>
      </c>
      <c r="Q19" s="29">
        <f>SUMIF('2.1'!B$14:B$25,свод!B19,'2.1'!Q$14:Q$25)+SUMIF('2.2'!B$14:B$25,свод!B19,'2.2'!Q$14:Q$25)+SUMIF('2.3'!B$14:B$25,свод!B19,'2.3'!Q$14:Q$25)+SUMIF('2.4'!B$14:B$25,свод!B19,'2.4'!Q$14:Q$25)+SUMIF('2.5'!B$14:B$25,свод!B19,'2.5'!Q$14:Q$25)+SUMIF('2.6'!B$14:B$25,свод!B19,'2.6'!Q$14:Q$25)</f>
        <v>0</v>
      </c>
      <c r="R19" s="29">
        <f>SUMIF('2.1'!B$14:B$25,свод!B19,'2.1'!R$14:R$25)+SUMIF('2.2'!B$14:B$25,свод!B19,'2.2'!R$14:R$25)+SUMIF('2.3'!B$14:B$25,свод!B19,'2.3'!R$14:R$25)+SUMIF('2.4'!B$14:B$25,свод!B19,'2.4'!R$14:R$25)+SUMIF('2.5'!B$14:B$25,свод!B19,'2.5'!R$14:R$25)+SUMIF('2.6'!B$14:B$25,свод!B19,'2.6'!R$14:R$25)</f>
        <v>0</v>
      </c>
      <c r="S19" s="29">
        <f>SUMIF('2.1'!B$14:B$25,свод!B19,'2.1'!S$14:S$25)+SUMIF('2.2'!B$14:B$25,свод!B19,'2.2'!S$14:S$25)+SUMIF('2.3'!B$14:B$25,свод!B19,'2.3'!S$14:S$25)+SUMIF('2.4'!B$14:B$25,свод!B19,'2.4'!S$14:S$25)+SUMIF('2.5'!B$14:B$25,свод!B19,'2.5'!S$14:S$25)+SUMIF('2.6'!B$14:B$25,свод!B19,'2.6'!S$14:S$25)</f>
        <v>0</v>
      </c>
      <c r="T19" s="29">
        <f>SUMIF('2.1'!B$14:B$25,свод!B19,'2.1'!T$14:T$25)+SUMIF('2.2'!B$14:B$25,свод!B19,'2.2'!T$14:T$25)+SUMIF('2.3'!B$14:B$25,свод!B19,'2.3'!T$14:T$25)+SUMIF('2.4'!B$14:B$25,свод!B19,'2.4'!T$14:T$25)+SUMIF('2.5'!B$14:B$25,свод!B19,'2.5'!T$14:T$25)+SUMIF('2.6'!B$14:B$25,свод!B19,'2.6'!T$14:T$25)</f>
        <v>0</v>
      </c>
      <c r="U19" s="29">
        <f>SUMIF('2.1'!B$14:B$25,свод!B19,'2.1'!U$14:U$25)+SUMIF('2.2'!B$14:B$25,свод!B19,'2.2'!U$14:U$25)+SUMIF('2.3'!B$14:B$25,свод!B19,'2.3'!U$14:U$25)+SUMIF('2.4'!B$14:B$25,свод!B19,'2.4'!U$14:U$25)+SUMIF('2.5'!B$14:B$25,свод!B19,'2.5'!U$14:U$25)+SUMIF('2.6'!B$14:B$25,свод!B19,'2.6'!U$14:U$25)</f>
        <v>0</v>
      </c>
      <c r="V19" s="29">
        <f>SUMIF('2.1'!B$14:B$25,свод!B19,'2.1'!V$14:V$25)+SUMIF('2.2'!B$14:B$25,свод!B19,'2.2'!V$14:V$25)+SUMIF('2.3'!B$14:B$25,свод!B19,'2.3'!V$14:V$25)+SUMIF('2.4'!B$14:B$25,свод!B19,'2.4'!V$14:V$25)+SUMIF('2.5'!B$14:B$25,свод!B19,'2.5'!V$14:V$25)+SUMIF('2.6'!B$14:B$25,свод!B19,'2.6'!V$14:V$25)</f>
        <v>0</v>
      </c>
      <c r="W19" s="34"/>
      <c r="X19" s="64"/>
      <c r="Y19" s="10"/>
      <c r="Z19" s="29">
        <f>SUMIF('2.1'!B$14:B$25,свод!B19,'2.1'!Z$14:Z$25)+SUMIF('2.2'!B$14:B$25,свод!B19,'2.2'!Z$14:Z$25)+SUMIF('2.3'!B$14:B$25,свод!B19,'2.3'!Z$14:Z$25)+SUMIF('2.4'!B$14:B$25,свод!B19,'2.4'!Z$14:Z$25)+SUMIF('2.5'!B$14:B$25,свод!B19,'2.5'!Z$14:Z$25)+SUMIF('2.6'!B$14:B$25,свод!B19,'2.6'!Z$14:Z$25)+SUMIF('3гпх'!B$15:B$26,свод!B19,'4гпх'!D$3:D$14)</f>
        <v>0</v>
      </c>
      <c r="AA19" s="29">
        <f>SUMIF('2.1'!B$14:B$25,свод!B19,'2.1'!AA$14:AA$25)+SUMIF('2.2'!B$14:B$25,свод!B19,'2.2'!AA$14:AA$25)+SUMIF('2.3'!B$14:B$25,свод!B19,'2.3'!AA$14:AA$25)+SUMIF('2.4'!B$14:B$25,свод!B19,'2.4'!AA$14:AA$25)+SUMIF('2.5'!B$14:B$25,свод!B19,'2.5'!AA$14:AA$25)+SUMIF('2.6'!B$14:B$25,свод!B19,'2.6'!AA$14:AA$25)+SUMIF('3гпх'!B$15:B$26,свод!B19,'4гпх'!I$3:I$14)</f>
        <v>0</v>
      </c>
      <c r="AB19" s="29">
        <f>SUMIF('2.1'!B$14:B$25,свод!B19,'2.1'!AB$14:AB$25)+SUMIF('2.2'!B$14:B$25,свод!B19,'2.2'!AB$14:AB$25)+SUMIF('2.3'!B$14:B$25,свод!B19,'2.3'!AB$14:AB$25)+SUMIF('2.4'!B$14:B$25,свод!B19,'2.4'!AB$14:AB$25)+SUMIF('2.5'!B$14:B$25,свод!B19,'2.5'!AB$14:AB$25)+SUMIF('2.6'!B$14:B$25,свод!B19,'2.6'!AB$14:AB$25)</f>
        <v>0</v>
      </c>
      <c r="AC19" s="29">
        <f>SUMIF('2.1'!B$14:B$25,свод!B19,'2.1'!AC$14:AC$25)+SUMIF('2.2'!B$14:B$25,свод!B19,'2.2'!AC$14:AC$25)+SUMIF('2.3'!B$14:B$25,свод!B19,'2.3'!AC$14:AC$25)+SUMIF('2.4'!B$14:B$25,свод!B19,'2.4'!AC$14:AC$25)+SUMIF('2.5'!B$14:B$25,свод!B19,'2.5'!AC$14:AC$25)+SUMIF('2.6'!B$14:B$25,свод!B19,'2.6'!AC$14:AC$25)+SUMIF('3гпх'!B$15:B$26,свод!B19,'3гпх'!H$15:H$26)</f>
        <v>0</v>
      </c>
      <c r="AD19" s="34"/>
      <c r="AE19" s="29">
        <f>SUMIF('2.1'!B$14:B$25,свод!B19,'2.1'!AE$14:AE$25)+SUMIF('2.2'!B$14:B$25,свод!B19,'2.2'!AE$14:AE$25)+SUMIF('2.3'!B$14:B$25,свод!B19,'2.3'!AE$14:AE$25)+SUMIF('2.4'!B$14:B$25,свод!B19,'2.4'!AE$14:AE$25)+SUMIF('2.5'!B$14:B$25,свод!B19,'2.5'!AE$14:AE$25)+SUMIF('2.6'!B$14:B$25,свод!B19,'2.6'!AE$14:AE$25)+SUMIF('3гпх'!B$15:B$26,свод!B19,'3гпх'!AM$15:AM$26)+SUMIF(дивид!B$15:B$26,свод!B19,дивид!AK$15:AK$26)</f>
        <v>0</v>
      </c>
      <c r="AF19" s="29">
        <f>SUMIF('2.1'!B$14:B$25,свод!B19,'2.1'!AF$14:AF$25)+SUMIF('2.2'!B$14:B$25,свод!B19,'2.2'!AF$14:AF$25)+SUMIF('2.3'!B$14:B$25,свод!B19,'2.3'!AF$14:AF$25)+SUMIF('2.4'!B$14:B$25,свод!B19,'2.4'!AF$14:AF$25)+SUMIF('2.5'!B$14:B$25,свод!B19,'2.5'!AF$14:AF$25)+SUMIF('2.6'!B$14:B$25,свод!B19,'2.6'!AF$14:AF$25)+SUMIF('3гпх'!B$15:B$26,свод!B19,'3гпх'!AN$15:AN$26)+SUMIF(дивид!B$15:B$26,свод!B19,дивид!AL$15:AL$26)</f>
        <v>1500000</v>
      </c>
    </row>
    <row r="20" spans="1:32" x14ac:dyDescent="0.2">
      <c r="A20" s="26">
        <v>7</v>
      </c>
      <c r="B20" s="26"/>
      <c r="C20" s="28"/>
      <c r="D20" s="29">
        <f>SUMIF('2.1'!B$14:B$25,свод!B20,'2.1'!D$14:D$25)+SUMIF('2.2'!B$14:B$25,свод!B20,'2.2'!D$14:D$25)+SUMIF('2.3'!B$14:B$25,свод!B20,'2.3'!D$14:D$25)+SUMIF('2.4'!B$14:B$25,свод!B20,'2.4'!D$14:D$25)+SUMIF('2.5'!B$14:B$25,свод!B20,'2.5'!D$14:D$25)+SUMIF('2.6'!B$14:B$25,свод!B20,'2.6'!D$14:D$25)+SUMIF('3гпх'!B$15:B$26,свод!B20,'3гпх'!E$15:E$26)+SUMIF(дивид!B$15:B$26,свод!B20,дивид!F$15:F$26)</f>
        <v>0</v>
      </c>
      <c r="E20" s="29">
        <f>SUMIF('2.1'!B$14:B$25,свод!B20,'2.1'!E$14:E$25)+SUMIF('2.2'!B$14:B$25,свод!B20,'2.2'!E$14:E$25)+SUMIF('2.3'!B$14:B$25,свод!B20,'2.3'!E$14:E$25)+SUMIF('2.4'!B$14:B$25,свод!B20,'2.4'!E$14:E$25)+SUMIF('2.5'!B$14:B$25,свод!B20,'2.5'!E$14:E$25)+SUMIF('2.6'!B$14:B$25,свод!B20,'2.6'!E$14:E$25)</f>
        <v>0</v>
      </c>
      <c r="F20" s="29">
        <f>SUMIF('2.1'!B$14:B$25,свод!B20,'2.1'!AC$14:AC$25)+SUMIF('2.2'!B$14:B$25,свод!B20,'2.2'!AC$14:AC$25)+SUMIF('2.3'!B$14:B$25,свод!B20,'2.3'!AC$14:AC$25)+SUMIF('2.4'!B$14:B$25,свод!B20,'2.4'!AC$14:AC$25)+SUMIF('2.5'!B$14:B$25,свод!B20,'2.5'!AC$14:AC$25)+SUMIF('2.6'!B$14:B$25,свод!B20,'2.6'!AC$14:AC$25)+SUMIF('3гпх'!B$15:B$26,свод!B20,'3гпх'!H$15:H$26)</f>
        <v>0</v>
      </c>
      <c r="G20" s="29">
        <f>SUMIF('2.1'!B$14:B$25,свод!B20,'2.1'!G$14:G$25)+SUMIF('2.2'!B$14:B$25,свод!B20,'2.2'!G$14:G$25)+SUMIF('2.3'!B$14:B$25,свод!B20,'2.3'!G$14:G$25)+SUMIF('2.4'!B$14:B$25,свод!B20,'2.4'!G$14:G$25)+SUMIF('2.5'!B$14:B$25,свод!B20,'2.5'!G$14:G$25)+SUMIF('2.6'!B$14:B$25,свод!B20,'2.6'!G$14:G$25)+SUMIF('3гпх'!B$15:B$26,свод!B20,'3гпх'!I$15:I$26)</f>
        <v>0</v>
      </c>
      <c r="H20" s="29">
        <f>SUMIF('2.1'!B$14:B$25,свод!B20,'2.1'!H$14:H$25)+SUMIF('2.2'!B$14:B$25,свод!B20,'2.2'!H$14:H$25)+SUMIF('2.3'!B$14:B$25,свод!B20,'2.3'!H$14:H$25)+SUMIF('2.4'!B$14:B$25,свод!B20,'2.4'!H$14:H$25)+SUMIF('2.5'!B$14:B$25,свод!B20,'2.5'!H$14:H$25)+SUMIF('2.6'!B$14:B$25,свод!B20,'2.6'!H$14:H$25)</f>
        <v>0</v>
      </c>
      <c r="I20" s="29">
        <f>SUMIF('2.1'!B$14:B$25,свод!B20,'2.1'!I$14:I$25)+SUMIF('2.2'!B$14:B$25,свод!B20,'2.2'!I$14:I$25)+SUMIF('2.3'!B$14:B$25,свод!B20,'2.3'!I$14:I$25)+SUMIF('2.4'!B$14:B$25,свод!B20,'2.4'!I$14:I$25)+SUMIF('2.5'!B$14:B$25,свод!B20,'2.5'!I$14:I$25)+SUMIF('2.6'!B$14:B$25,свод!B20,'2.6'!I$14:I$25)+SUMIF('3гпх'!B$15:B$26,свод!B20,'3гпх'!F$15:F$26)+SUMIF(дивид!B$15:B$26,свод!B20,дивид!G$15:G$26)</f>
        <v>0</v>
      </c>
      <c r="J20" s="29">
        <f>SUMIF('2.1'!B$14:B$25,свод!B20,'2.1'!J$14:J$25)+SUMIF('2.2'!B$14:B$25,свод!B20,'2.2'!J$14:J$25)+SUMIF('2.3'!B$14:B$25,свод!B20,'2.3'!J$14:J$25)+SUMIF('2.4'!B$14:B$25,свод!B20,'2.4'!J$14:J$25)+SUMIF('2.5'!B$14:B$25,свод!B20,'2.5'!J$14:J$25)+SUMIF('2.6'!B$14:B$25,свод!B20,'2.6'!J$14:J$25)+SUMIF('3гпх'!B$15:B$26,свод!B20,'3гпх'!J$15:J$26)+SUMIF(дивид!B$15:B$26,свод!B20,дивид!H$15:H$26)</f>
        <v>0</v>
      </c>
      <c r="K20" s="29">
        <f>SUMIF('2.1'!B$14:B$25,свод!B20,'2.1'!K$14:K$25)+SUMIF('2.2'!B$14:B$25,свод!B20,'2.2'!K$14:K$25)+SUMIF('2.3'!B$14:B$25,свод!B20,'2.3'!K$14:K$25)+SUMIF('2.4'!B$14:B$25,свод!B20,'2.4'!K$14:K$25)+SUMIF('2.5'!B$14:B$25,свод!B20,'2.5'!K$14:K$25)+SUMIF('2.6'!B$14:B$25,свод!B20,'2.6'!K$14:K$25)+SUMIF('3гпх'!B$15:B$26,свод!B20,'3гпх'!L$15:L$26)+SUMIF(дивид!B$15:B$26,свод!B20,дивид!J$15:J$26)</f>
        <v>0</v>
      </c>
      <c r="L20" s="29">
        <f>SUMIF('2.1'!B$14:B$25,свод!B20,'2.1'!L$14:L$25)+SUMIF('2.2'!B$14:B$25,свод!B20,'2.2'!L$14:L$25)+SUMIF('2.3'!B$14:B$25,свод!B20,'2.3'!L$14:L$25)+SUMIF('2.4'!B$14:B$25,свод!B20,'2.4'!L$14:L$25)+SUMIF('2.5'!B$14:B$25,свод!B20,'2.5'!L$14:L$25)+SUMIF('2.6'!B$14:B$25,свод!B20,'2.6'!L$14:L$25)+SUMIF('3гпх'!B$15:B$26,свод!B20,'3гпх'!M$15:M$26)+SUMIF(дивид!B$15:B$26,свод!B20,дивид!K$15:K$26)</f>
        <v>0</v>
      </c>
      <c r="M20" s="29">
        <f>SUMIF('2.1'!B$14:B$25,свод!B20,'2.1'!M$14:M$25)+SUMIF('2.2'!B$14:B$25,свод!B20,'2.2'!M$14:M$25)+SUMIF('2.3'!B$14:B$25,свод!B20,'2.3'!M$14:M$25)+SUMIF('2.4'!B$14:B$25,свод!B20,'2.4'!M$14:M$25)+SUMIF('2.5'!B$14:B$25,свод!B20,'2.5'!M$14:M$25)+SUMIF('2.6'!B$14:B$25,свод!B20,'2.6'!M$14:M$25)+SUMIF('3гпх'!B$15:B$26,свод!B20,'4гпх'!E$3:E$14)</f>
        <v>0</v>
      </c>
      <c r="N20" s="29">
        <f>SUMIF('2.1'!B$14:B$25,свод!B20,'2.1'!N$14:N$25)+SUMIF('2.2'!B$14:B$25,свод!B20,'2.2'!N$14:N$25)+SUMIF('2.3'!B$14:B$25,свод!B20,'2.3'!N$14:N$25)+SUMIF('2.4'!B$14:B$25,свод!B20,'2.4'!N$14:N$25)+SUMIF('2.5'!B$14:B$25,свод!B20,'2.5'!N$14:N$25)+SUMIF('2.6'!B$14:B$25,свод!B20,'2.6'!N$14:N$25)+SUMIF('3гпх'!B$15:B$26,свод!B20,'4гпх'!F$3:F$14)</f>
        <v>0</v>
      </c>
      <c r="O20" s="29"/>
      <c r="P20" s="29">
        <f>SUMIF('2.1'!B$14:B$25,свод!B20,'2.1'!P$14:P$25)+SUMIF('2.2'!B$14:B$25,свод!B20,'2.2'!P$14:P$25)+SUMIF('2.3'!B$14:B$25,свод!B20,'2.3'!P$14:P$25)+SUMIF('2.4'!B$14:B$25,свод!B20,'2.4'!P$14:P$25)+SUMIF('2.5'!B$14:B$25,свод!B20,'2.5'!P$14:P$25)+SUMIF('2.6'!B$14:B$25,свод!B20,'2.6'!P$14:P$25)+SUMIF('3гпх'!B$15:B$26,свод!B20,'3гпх'!G$15:G$26)</f>
        <v>0</v>
      </c>
      <c r="Q20" s="29">
        <f>SUMIF('2.1'!B$14:B$25,свод!B20,'2.1'!Q$14:Q$25)+SUMIF('2.2'!B$14:B$25,свод!B20,'2.2'!Q$14:Q$25)+SUMIF('2.3'!B$14:B$25,свод!B20,'2.3'!Q$14:Q$25)+SUMIF('2.4'!B$14:B$25,свод!B20,'2.4'!Q$14:Q$25)+SUMIF('2.5'!B$14:B$25,свод!B20,'2.5'!Q$14:Q$25)+SUMIF('2.6'!B$14:B$25,свод!B20,'2.6'!Q$14:Q$25)</f>
        <v>0</v>
      </c>
      <c r="R20" s="29">
        <f>SUMIF('2.1'!B$14:B$25,свод!B20,'2.1'!R$14:R$25)+SUMIF('2.2'!B$14:B$25,свод!B20,'2.2'!R$14:R$25)+SUMIF('2.3'!B$14:B$25,свод!B20,'2.3'!R$14:R$25)+SUMIF('2.4'!B$14:B$25,свод!B20,'2.4'!R$14:R$25)+SUMIF('2.5'!B$14:B$25,свод!B20,'2.5'!R$14:R$25)+SUMIF('2.6'!B$14:B$25,свод!B20,'2.6'!R$14:R$25)</f>
        <v>0</v>
      </c>
      <c r="S20" s="29">
        <f>SUMIF('2.1'!B$14:B$25,свод!B20,'2.1'!S$14:S$25)+SUMIF('2.2'!B$14:B$25,свод!B20,'2.2'!S$14:S$25)+SUMIF('2.3'!B$14:B$25,свод!B20,'2.3'!S$14:S$25)+SUMIF('2.4'!B$14:B$25,свод!B20,'2.4'!S$14:S$25)+SUMIF('2.5'!B$14:B$25,свод!B20,'2.5'!S$14:S$25)+SUMIF('2.6'!B$14:B$25,свод!B20,'2.6'!S$14:S$25)</f>
        <v>0</v>
      </c>
      <c r="T20" s="29">
        <f>SUMIF('2.1'!B$14:B$25,свод!B20,'2.1'!T$14:T$25)+SUMIF('2.2'!B$14:B$25,свод!B20,'2.2'!T$14:T$25)+SUMIF('2.3'!B$14:B$25,свод!B20,'2.3'!T$14:T$25)+SUMIF('2.4'!B$14:B$25,свод!B20,'2.4'!T$14:T$25)+SUMIF('2.5'!B$14:B$25,свод!B20,'2.5'!T$14:T$25)+SUMIF('2.6'!B$14:B$25,свод!B20,'2.6'!T$14:T$25)</f>
        <v>0</v>
      </c>
      <c r="U20" s="29">
        <f>SUMIF('2.1'!B$14:B$25,свод!B20,'2.1'!U$14:U$25)+SUMIF('2.2'!B$14:B$25,свод!B20,'2.2'!U$14:U$25)+SUMIF('2.3'!B$14:B$25,свод!B20,'2.3'!U$14:U$25)+SUMIF('2.4'!B$14:B$25,свод!B20,'2.4'!U$14:U$25)+SUMIF('2.5'!B$14:B$25,свод!B20,'2.5'!U$14:U$25)+SUMIF('2.6'!B$14:B$25,свод!B20,'2.6'!U$14:U$25)</f>
        <v>0</v>
      </c>
      <c r="V20" s="29">
        <f>SUMIF('2.1'!B$14:B$25,свод!B20,'2.1'!V$14:V$25)+SUMIF('2.2'!B$14:B$25,свод!B20,'2.2'!V$14:V$25)+SUMIF('2.3'!B$14:B$25,свод!B20,'2.3'!V$14:V$25)+SUMIF('2.4'!B$14:B$25,свод!B20,'2.4'!V$14:V$25)+SUMIF('2.5'!B$14:B$25,свод!B20,'2.5'!V$14:V$25)+SUMIF('2.6'!B$14:B$25,свод!B20,'2.6'!V$14:V$25)</f>
        <v>0</v>
      </c>
      <c r="W20" s="34"/>
      <c r="X20" s="64"/>
      <c r="Y20" s="10"/>
      <c r="Z20" s="29">
        <f>SUMIF('2.1'!B$14:B$25,свод!B20,'2.1'!Z$14:Z$25)+SUMIF('2.2'!B$14:B$25,свод!B20,'2.2'!Z$14:Z$25)+SUMIF('2.3'!B$14:B$25,свод!B20,'2.3'!Z$14:Z$25)+SUMIF('2.4'!B$14:B$25,свод!B20,'2.4'!Z$14:Z$25)+SUMIF('2.5'!B$14:B$25,свод!B20,'2.5'!Z$14:Z$25)+SUMIF('2.6'!B$14:B$25,свод!B20,'2.6'!Z$14:Z$25)+SUMIF('3гпх'!B$15:B$26,свод!B20,'4гпх'!D$3:D$14)</f>
        <v>0</v>
      </c>
      <c r="AA20" s="29">
        <f>SUMIF('2.1'!B$14:B$25,свод!B20,'2.1'!AA$14:AA$25)+SUMIF('2.2'!B$14:B$25,свод!B20,'2.2'!AA$14:AA$25)+SUMIF('2.3'!B$14:B$25,свод!B20,'2.3'!AA$14:AA$25)+SUMIF('2.4'!B$14:B$25,свод!B20,'2.4'!AA$14:AA$25)+SUMIF('2.5'!B$14:B$25,свод!B20,'2.5'!AA$14:AA$25)+SUMIF('2.6'!B$14:B$25,свод!B20,'2.6'!AA$14:AA$25)+SUMIF('3гпх'!B$15:B$26,свод!B20,'4гпх'!I$3:I$14)</f>
        <v>0</v>
      </c>
      <c r="AB20" s="29">
        <f>SUMIF('2.1'!B$14:B$25,свод!B20,'2.1'!AB$14:AB$25)+SUMIF('2.2'!B$14:B$25,свод!B20,'2.2'!AB$14:AB$25)+SUMIF('2.3'!B$14:B$25,свод!B20,'2.3'!AB$14:AB$25)+SUMIF('2.4'!B$14:B$25,свод!B20,'2.4'!AB$14:AB$25)+SUMIF('2.5'!B$14:B$25,свод!B20,'2.5'!AB$14:AB$25)+SUMIF('2.6'!B$14:B$25,свод!B20,'2.6'!AB$14:AB$25)</f>
        <v>0</v>
      </c>
      <c r="AC20" s="29">
        <f>SUMIF('2.1'!B$14:B$25,свод!B20,'2.1'!AC$14:AC$25)+SUMIF('2.2'!B$14:B$25,свод!B20,'2.2'!AC$14:AC$25)+SUMIF('2.3'!B$14:B$25,свод!B20,'2.3'!AC$14:AC$25)+SUMIF('2.4'!B$14:B$25,свод!B20,'2.4'!AC$14:AC$25)+SUMIF('2.5'!B$14:B$25,свод!B20,'2.5'!AC$14:AC$25)+SUMIF('2.6'!B$14:B$25,свод!B20,'2.6'!AC$14:AC$25)+SUMIF('3гпх'!B$15:B$26,свод!B20,'3гпх'!H$15:H$26)</f>
        <v>0</v>
      </c>
      <c r="AD20" s="34"/>
      <c r="AE20" s="29">
        <f>SUMIF('2.1'!B$14:B$25,свод!B20,'2.1'!AE$14:AE$25)+SUMIF('2.2'!B$14:B$25,свод!B20,'2.2'!AE$14:AE$25)+SUMIF('2.3'!B$14:B$25,свод!B20,'2.3'!AE$14:AE$25)+SUMIF('2.4'!B$14:B$25,свод!B20,'2.4'!AE$14:AE$25)+SUMIF('2.5'!B$14:B$25,свод!B20,'2.5'!AE$14:AE$25)+SUMIF('2.6'!B$14:B$25,свод!B20,'2.6'!AE$14:AE$25)+SUMIF('3гпх'!B$15:B$26,свод!B20,'3гпх'!AM$15:AM$26)+SUMIF(дивид!B$15:B$26,свод!B20,дивид!AK$15:AK$26)</f>
        <v>0</v>
      </c>
      <c r="AF20" s="29">
        <f>SUMIF('2.1'!B$14:B$25,свод!B20,'2.1'!AF$14:AF$25)+SUMIF('2.2'!B$14:B$25,свод!B20,'2.2'!AF$14:AF$25)+SUMIF('2.3'!B$14:B$25,свод!B20,'2.3'!AF$14:AF$25)+SUMIF('2.4'!B$14:B$25,свод!B20,'2.4'!AF$14:AF$25)+SUMIF('2.5'!B$14:B$25,свод!B20,'2.5'!AF$14:AF$25)+SUMIF('2.6'!B$14:B$25,свод!B20,'2.6'!AF$14:AF$25)+SUMIF('3гпх'!B$15:B$26,свод!B20,'3гпх'!AN$15:AN$26)+SUMIF(дивид!B$15:B$26,свод!B20,дивид!AL$15:AL$26)</f>
        <v>0</v>
      </c>
    </row>
    <row r="21" spans="1:32" x14ac:dyDescent="0.2">
      <c r="A21" s="26">
        <v>8</v>
      </c>
      <c r="B21" s="26"/>
      <c r="C21" s="28"/>
      <c r="D21" s="29">
        <f>SUMIF('2.1'!B$14:B$25,свод!B21,'2.1'!D$14:D$25)+SUMIF('2.2'!B$14:B$25,свод!B21,'2.2'!D$14:D$25)+SUMIF('2.3'!B$14:B$25,свод!B21,'2.3'!D$14:D$25)+SUMIF('2.4'!B$14:B$25,свод!B21,'2.4'!D$14:D$25)+SUMIF('2.5'!B$14:B$25,свод!B21,'2.5'!D$14:D$25)+SUMIF('2.6'!B$14:B$25,свод!B21,'2.6'!D$14:D$25)+SUMIF('3гпх'!B$15:B$26,свод!B21,'3гпх'!E$15:E$26)+SUMIF(дивид!B$15:B$26,свод!B21,дивид!F$15:F$26)</f>
        <v>0</v>
      </c>
      <c r="E21" s="29">
        <f>SUMIF('2.1'!B$14:B$25,свод!B21,'2.1'!E$14:E$25)+SUMIF('2.2'!B$14:B$25,свод!B21,'2.2'!E$14:E$25)+SUMIF('2.3'!B$14:B$25,свод!B21,'2.3'!E$14:E$25)+SUMIF('2.4'!B$14:B$25,свод!B21,'2.4'!E$14:E$25)+SUMIF('2.5'!B$14:B$25,свод!B21,'2.5'!E$14:E$25)+SUMIF('2.6'!B$14:B$25,свод!B21,'2.6'!E$14:E$25)</f>
        <v>0</v>
      </c>
      <c r="F21" s="29">
        <f>SUMIF('2.1'!B$14:B$25,свод!B21,'2.1'!AC$14:AC$25)+SUMIF('2.2'!B$14:B$25,свод!B21,'2.2'!AC$14:AC$25)+SUMIF('2.3'!B$14:B$25,свод!B21,'2.3'!AC$14:AC$25)+SUMIF('2.4'!B$14:B$25,свод!B21,'2.4'!AC$14:AC$25)+SUMIF('2.5'!B$14:B$25,свод!B21,'2.5'!AC$14:AC$25)+SUMIF('2.6'!B$14:B$25,свод!B21,'2.6'!AC$14:AC$25)+SUMIF('3гпх'!B$15:B$26,свод!B21,'3гпх'!H$15:H$26)</f>
        <v>0</v>
      </c>
      <c r="G21" s="29">
        <f>SUMIF('2.1'!B$14:B$25,свод!B21,'2.1'!G$14:G$25)+SUMIF('2.2'!B$14:B$25,свод!B21,'2.2'!G$14:G$25)+SUMIF('2.3'!B$14:B$25,свод!B21,'2.3'!G$14:G$25)+SUMIF('2.4'!B$14:B$25,свод!B21,'2.4'!G$14:G$25)+SUMIF('2.5'!B$14:B$25,свод!B21,'2.5'!G$14:G$25)+SUMIF('2.6'!B$14:B$25,свод!B21,'2.6'!G$14:G$25)+SUMIF('3гпх'!B$15:B$26,свод!B21,'3гпх'!I$15:I$26)</f>
        <v>0</v>
      </c>
      <c r="H21" s="29">
        <f>SUMIF('2.1'!B$14:B$25,свод!B21,'2.1'!H$14:H$25)+SUMIF('2.2'!B$14:B$25,свод!B21,'2.2'!H$14:H$25)+SUMIF('2.3'!B$14:B$25,свод!B21,'2.3'!H$14:H$25)+SUMIF('2.4'!B$14:B$25,свод!B21,'2.4'!H$14:H$25)+SUMIF('2.5'!B$14:B$25,свод!B21,'2.5'!H$14:H$25)+SUMIF('2.6'!B$14:B$25,свод!B21,'2.6'!H$14:H$25)</f>
        <v>0</v>
      </c>
      <c r="I21" s="29">
        <f>SUMIF('2.1'!B$14:B$25,свод!B21,'2.1'!I$14:I$25)+SUMIF('2.2'!B$14:B$25,свод!B21,'2.2'!I$14:I$25)+SUMIF('2.3'!B$14:B$25,свод!B21,'2.3'!I$14:I$25)+SUMIF('2.4'!B$14:B$25,свод!B21,'2.4'!I$14:I$25)+SUMIF('2.5'!B$14:B$25,свод!B21,'2.5'!I$14:I$25)+SUMIF('2.6'!B$14:B$25,свод!B21,'2.6'!I$14:I$25)+SUMIF('3гпх'!B$15:B$26,свод!B21,'3гпх'!F$15:F$26)+SUMIF(дивид!B$15:B$26,свод!B21,дивид!G$15:G$26)</f>
        <v>0</v>
      </c>
      <c r="J21" s="29">
        <f>SUMIF('2.1'!B$14:B$25,свод!B21,'2.1'!J$14:J$25)+SUMIF('2.2'!B$14:B$25,свод!B21,'2.2'!J$14:J$25)+SUMIF('2.3'!B$14:B$25,свод!B21,'2.3'!J$14:J$25)+SUMIF('2.4'!B$14:B$25,свод!B21,'2.4'!J$14:J$25)+SUMIF('2.5'!B$14:B$25,свод!B21,'2.5'!J$14:J$25)+SUMIF('2.6'!B$14:B$25,свод!B21,'2.6'!J$14:J$25)+SUMIF('3гпх'!B$15:B$26,свод!B21,'3гпх'!J$15:J$26)+SUMIF(дивид!B$15:B$26,свод!B21,дивид!H$15:H$26)</f>
        <v>0</v>
      </c>
      <c r="K21" s="29">
        <f>SUMIF('2.1'!B$14:B$25,свод!B21,'2.1'!K$14:K$25)+SUMIF('2.2'!B$14:B$25,свод!B21,'2.2'!K$14:K$25)+SUMIF('2.3'!B$14:B$25,свод!B21,'2.3'!K$14:K$25)+SUMIF('2.4'!B$14:B$25,свод!B21,'2.4'!K$14:K$25)+SUMIF('2.5'!B$14:B$25,свод!B21,'2.5'!K$14:K$25)+SUMIF('2.6'!B$14:B$25,свод!B21,'2.6'!K$14:K$25)+SUMIF('3гпх'!B$15:B$26,свод!B21,'3гпх'!L$15:L$26)+SUMIF(дивид!B$15:B$26,свод!B21,дивид!J$15:J$26)</f>
        <v>0</v>
      </c>
      <c r="L21" s="29">
        <f>SUMIF('2.1'!B$14:B$25,свод!B21,'2.1'!L$14:L$25)+SUMIF('2.2'!B$14:B$25,свод!B21,'2.2'!L$14:L$25)+SUMIF('2.3'!B$14:B$25,свод!B21,'2.3'!L$14:L$25)+SUMIF('2.4'!B$14:B$25,свод!B21,'2.4'!L$14:L$25)+SUMIF('2.5'!B$14:B$25,свод!B21,'2.5'!L$14:L$25)+SUMIF('2.6'!B$14:B$25,свод!B21,'2.6'!L$14:L$25)+SUMIF('3гпх'!B$15:B$26,свод!B21,'3гпх'!M$15:M$26)+SUMIF(дивид!B$15:B$26,свод!B21,дивид!K$15:K$26)</f>
        <v>0</v>
      </c>
      <c r="M21" s="29">
        <f>SUMIF('2.1'!B$14:B$25,свод!B21,'2.1'!M$14:M$25)+SUMIF('2.2'!B$14:B$25,свод!B21,'2.2'!M$14:M$25)+SUMIF('2.3'!B$14:B$25,свод!B21,'2.3'!M$14:M$25)+SUMIF('2.4'!B$14:B$25,свод!B21,'2.4'!M$14:M$25)+SUMIF('2.5'!B$14:B$25,свод!B21,'2.5'!M$14:M$25)+SUMIF('2.6'!B$14:B$25,свод!B21,'2.6'!M$14:M$25)+SUMIF('3гпх'!B$15:B$26,свод!B21,'4гпх'!E$3:E$14)</f>
        <v>0</v>
      </c>
      <c r="N21" s="29">
        <f>SUMIF('2.1'!B$14:B$25,свод!B21,'2.1'!N$14:N$25)+SUMIF('2.2'!B$14:B$25,свод!B21,'2.2'!N$14:N$25)+SUMIF('2.3'!B$14:B$25,свод!B21,'2.3'!N$14:N$25)+SUMIF('2.4'!B$14:B$25,свод!B21,'2.4'!N$14:N$25)+SUMIF('2.5'!B$14:B$25,свод!B21,'2.5'!N$14:N$25)+SUMIF('2.6'!B$14:B$25,свод!B21,'2.6'!N$14:N$25)+SUMIF('3гпх'!B$15:B$26,свод!B21,'4гпх'!F$3:F$14)</f>
        <v>0</v>
      </c>
      <c r="O21" s="29"/>
      <c r="P21" s="29">
        <f>SUMIF('2.1'!B$14:B$25,свод!B21,'2.1'!P$14:P$25)+SUMIF('2.2'!B$14:B$25,свод!B21,'2.2'!P$14:P$25)+SUMIF('2.3'!B$14:B$25,свод!B21,'2.3'!P$14:P$25)+SUMIF('2.4'!B$14:B$25,свод!B21,'2.4'!P$14:P$25)+SUMIF('2.5'!B$14:B$25,свод!B21,'2.5'!P$14:P$25)+SUMIF('2.6'!B$14:B$25,свод!B21,'2.6'!P$14:P$25)+SUMIF('3гпх'!B$15:B$26,свод!B21,'3гпх'!G$15:G$26)</f>
        <v>0</v>
      </c>
      <c r="Q21" s="29">
        <f>SUMIF('2.1'!B$14:B$25,свод!B21,'2.1'!Q$14:Q$25)+SUMIF('2.2'!B$14:B$25,свод!B21,'2.2'!Q$14:Q$25)+SUMIF('2.3'!B$14:B$25,свод!B21,'2.3'!Q$14:Q$25)+SUMIF('2.4'!B$14:B$25,свод!B21,'2.4'!Q$14:Q$25)+SUMIF('2.5'!B$14:B$25,свод!B21,'2.5'!Q$14:Q$25)+SUMIF('2.6'!B$14:B$25,свод!B21,'2.6'!Q$14:Q$25)</f>
        <v>0</v>
      </c>
      <c r="R21" s="29">
        <f>SUMIF('2.1'!B$14:B$25,свод!B21,'2.1'!R$14:R$25)+SUMIF('2.2'!B$14:B$25,свод!B21,'2.2'!R$14:R$25)+SUMIF('2.3'!B$14:B$25,свод!B21,'2.3'!R$14:R$25)+SUMIF('2.4'!B$14:B$25,свод!B21,'2.4'!R$14:R$25)+SUMIF('2.5'!B$14:B$25,свод!B21,'2.5'!R$14:R$25)+SUMIF('2.6'!B$14:B$25,свод!B21,'2.6'!R$14:R$25)</f>
        <v>0</v>
      </c>
      <c r="S21" s="29">
        <f>SUMIF('2.1'!B$14:B$25,свод!B21,'2.1'!S$14:S$25)+SUMIF('2.2'!B$14:B$25,свод!B21,'2.2'!S$14:S$25)+SUMIF('2.3'!B$14:B$25,свод!B21,'2.3'!S$14:S$25)+SUMIF('2.4'!B$14:B$25,свод!B21,'2.4'!S$14:S$25)+SUMIF('2.5'!B$14:B$25,свод!B21,'2.5'!S$14:S$25)+SUMIF('2.6'!B$14:B$25,свод!B21,'2.6'!S$14:S$25)</f>
        <v>0</v>
      </c>
      <c r="T21" s="29">
        <f>SUMIF('2.1'!B$14:B$25,свод!B21,'2.1'!T$14:T$25)+SUMIF('2.2'!B$14:B$25,свод!B21,'2.2'!T$14:T$25)+SUMIF('2.3'!B$14:B$25,свод!B21,'2.3'!T$14:T$25)+SUMIF('2.4'!B$14:B$25,свод!B21,'2.4'!T$14:T$25)+SUMIF('2.5'!B$14:B$25,свод!B21,'2.5'!T$14:T$25)+SUMIF('2.6'!B$14:B$25,свод!B21,'2.6'!T$14:T$25)</f>
        <v>0</v>
      </c>
      <c r="U21" s="29">
        <f>SUMIF('2.1'!B$14:B$25,свод!B21,'2.1'!U$14:U$25)+SUMIF('2.2'!B$14:B$25,свод!B21,'2.2'!U$14:U$25)+SUMIF('2.3'!B$14:B$25,свод!B21,'2.3'!U$14:U$25)+SUMIF('2.4'!B$14:B$25,свод!B21,'2.4'!U$14:U$25)+SUMIF('2.5'!B$14:B$25,свод!B21,'2.5'!U$14:U$25)+SUMIF('2.6'!B$14:B$25,свод!B21,'2.6'!U$14:U$25)</f>
        <v>0</v>
      </c>
      <c r="V21" s="29">
        <f>SUMIF('2.1'!B$14:B$25,свод!B21,'2.1'!V$14:V$25)+SUMIF('2.2'!B$14:B$25,свод!B21,'2.2'!V$14:V$25)+SUMIF('2.3'!B$14:B$25,свод!B21,'2.3'!V$14:V$25)+SUMIF('2.4'!B$14:B$25,свод!B21,'2.4'!V$14:V$25)+SUMIF('2.5'!B$14:B$25,свод!B21,'2.5'!V$14:V$25)+SUMIF('2.6'!B$14:B$25,свод!B21,'2.6'!V$14:V$25)</f>
        <v>0</v>
      </c>
      <c r="W21" s="34"/>
      <c r="X21" s="64"/>
      <c r="Y21" s="10"/>
      <c r="Z21" s="29">
        <f>SUMIF('2.1'!B$14:B$25,свод!B21,'2.1'!Z$14:Z$25)+SUMIF('2.2'!B$14:B$25,свод!B21,'2.2'!Z$14:Z$25)+SUMIF('2.3'!B$14:B$25,свод!B21,'2.3'!Z$14:Z$25)+SUMIF('2.4'!B$14:B$25,свод!B21,'2.4'!Z$14:Z$25)+SUMIF('2.5'!B$14:B$25,свод!B21,'2.5'!Z$14:Z$25)+SUMIF('2.6'!B$14:B$25,свод!B21,'2.6'!Z$14:Z$25)+SUMIF('3гпх'!B$15:B$26,свод!B21,'4гпх'!D$3:D$14)</f>
        <v>0</v>
      </c>
      <c r="AA21" s="29">
        <f>SUMIF('2.1'!B$14:B$25,свод!B21,'2.1'!AA$14:AA$25)+SUMIF('2.2'!B$14:B$25,свод!B21,'2.2'!AA$14:AA$25)+SUMIF('2.3'!B$14:B$25,свод!B21,'2.3'!AA$14:AA$25)+SUMIF('2.4'!B$14:B$25,свод!B21,'2.4'!AA$14:AA$25)+SUMIF('2.5'!B$14:B$25,свод!B21,'2.5'!AA$14:AA$25)+SUMIF('2.6'!B$14:B$25,свод!B21,'2.6'!AA$14:AA$25)+SUMIF('3гпх'!B$15:B$26,свод!B21,'4гпх'!I$3:I$14)</f>
        <v>0</v>
      </c>
      <c r="AB21" s="29">
        <f>SUMIF('2.1'!B$14:B$25,свод!B21,'2.1'!AB$14:AB$25)+SUMIF('2.2'!B$14:B$25,свод!B21,'2.2'!AB$14:AB$25)+SUMIF('2.3'!B$14:B$25,свод!B21,'2.3'!AB$14:AB$25)+SUMIF('2.4'!B$14:B$25,свод!B21,'2.4'!AB$14:AB$25)+SUMIF('2.5'!B$14:B$25,свод!B21,'2.5'!AB$14:AB$25)+SUMIF('2.6'!B$14:B$25,свод!B21,'2.6'!AB$14:AB$25)</f>
        <v>0</v>
      </c>
      <c r="AC21" s="29">
        <f>SUMIF('2.1'!B$14:B$25,свод!B21,'2.1'!AC$14:AC$25)+SUMIF('2.2'!B$14:B$25,свод!B21,'2.2'!AC$14:AC$25)+SUMIF('2.3'!B$14:B$25,свод!B21,'2.3'!AC$14:AC$25)+SUMIF('2.4'!B$14:B$25,свод!B21,'2.4'!AC$14:AC$25)+SUMIF('2.5'!B$14:B$25,свод!B21,'2.5'!AC$14:AC$25)+SUMIF('2.6'!B$14:B$25,свод!B21,'2.6'!AC$14:AC$25)+SUMIF('3гпх'!B$15:B$26,свод!B21,'3гпх'!H$15:H$26)</f>
        <v>0</v>
      </c>
      <c r="AD21" s="34"/>
      <c r="AE21" s="29">
        <f>SUMIF('2.1'!B$14:B$25,свод!B21,'2.1'!AE$14:AE$25)+SUMIF('2.2'!B$14:B$25,свод!B21,'2.2'!AE$14:AE$25)+SUMIF('2.3'!B$14:B$25,свод!B21,'2.3'!AE$14:AE$25)+SUMIF('2.4'!B$14:B$25,свод!B21,'2.4'!AE$14:AE$25)+SUMIF('2.5'!B$14:B$25,свод!B21,'2.5'!AE$14:AE$25)+SUMIF('2.6'!B$14:B$25,свод!B21,'2.6'!AE$14:AE$25)+SUMIF('3гпх'!B$15:B$26,свод!B21,'3гпх'!AM$15:AM$26)+SUMIF(дивид!B$15:B$26,свод!B21,дивид!AK$15:AK$26)</f>
        <v>0</v>
      </c>
      <c r="AF21" s="29">
        <f>SUMIF('2.1'!B$14:B$25,свод!B21,'2.1'!AF$14:AF$25)+SUMIF('2.2'!B$14:B$25,свод!B21,'2.2'!AF$14:AF$25)+SUMIF('2.3'!B$14:B$25,свод!B21,'2.3'!AF$14:AF$25)+SUMIF('2.4'!B$14:B$25,свод!B21,'2.4'!AF$14:AF$25)+SUMIF('2.5'!B$14:B$25,свод!B21,'2.5'!AF$14:AF$25)+SUMIF('2.6'!B$14:B$25,свод!B21,'2.6'!AF$14:AF$25)+SUMIF('3гпх'!B$15:B$26,свод!B21,'3гпх'!AN$15:AN$26)+SUMIF(дивид!B$15:B$26,свод!B21,дивид!AL$15:AL$26)</f>
        <v>0</v>
      </c>
    </row>
    <row r="22" spans="1:32" x14ac:dyDescent="0.2">
      <c r="A22" s="26">
        <v>9</v>
      </c>
      <c r="B22" s="26"/>
      <c r="C22" s="28"/>
      <c r="D22" s="29">
        <f>SUMIF('2.1'!B$14:B$25,свод!B22,'2.1'!D$14:D$25)+SUMIF('2.2'!B$14:B$25,свод!B22,'2.2'!D$14:D$25)+SUMIF('2.3'!B$14:B$25,свод!B22,'2.3'!D$14:D$25)+SUMIF('2.4'!B$14:B$25,свод!B22,'2.4'!D$14:D$25)+SUMIF('2.5'!B$14:B$25,свод!B22,'2.5'!D$14:D$25)+SUMIF('2.6'!B$14:B$25,свод!B22,'2.6'!D$14:D$25)+SUMIF('3гпх'!B$15:B$26,свод!B22,'3гпх'!E$15:E$26)+SUMIF(дивид!B$15:B$26,свод!B22,дивид!F$15:F$26)</f>
        <v>0</v>
      </c>
      <c r="E22" s="29">
        <f>SUMIF('2.1'!B$14:B$25,свод!B22,'2.1'!E$14:E$25)+SUMIF('2.2'!B$14:B$25,свод!B22,'2.2'!E$14:E$25)+SUMIF('2.3'!B$14:B$25,свод!B22,'2.3'!E$14:E$25)+SUMIF('2.4'!B$14:B$25,свод!B22,'2.4'!E$14:E$25)+SUMIF('2.5'!B$14:B$25,свод!B22,'2.5'!E$14:E$25)+SUMIF('2.6'!B$14:B$25,свод!B22,'2.6'!E$14:E$25)</f>
        <v>0</v>
      </c>
      <c r="F22" s="29">
        <f>SUMIF('2.1'!B$14:B$25,свод!B22,'2.1'!AC$14:AC$25)+SUMIF('2.2'!B$14:B$25,свод!B22,'2.2'!AC$14:AC$25)+SUMIF('2.3'!B$14:B$25,свод!B22,'2.3'!AC$14:AC$25)+SUMIF('2.4'!B$14:B$25,свод!B22,'2.4'!AC$14:AC$25)+SUMIF('2.5'!B$14:B$25,свод!B22,'2.5'!AC$14:AC$25)+SUMIF('2.6'!B$14:B$25,свод!B22,'2.6'!AC$14:AC$25)+SUMIF('3гпх'!B$15:B$26,свод!B22,'3гпх'!H$15:H$26)</f>
        <v>0</v>
      </c>
      <c r="G22" s="29">
        <f>SUMIF('2.1'!B$14:B$25,свод!B22,'2.1'!G$14:G$25)+SUMIF('2.2'!B$14:B$25,свод!B22,'2.2'!G$14:G$25)+SUMIF('2.3'!B$14:B$25,свод!B22,'2.3'!G$14:G$25)+SUMIF('2.4'!B$14:B$25,свод!B22,'2.4'!G$14:G$25)+SUMIF('2.5'!B$14:B$25,свод!B22,'2.5'!G$14:G$25)+SUMIF('2.6'!B$14:B$25,свод!B22,'2.6'!G$14:G$25)+SUMIF('3гпх'!B$15:B$26,свод!B22,'3гпх'!I$15:I$26)</f>
        <v>0</v>
      </c>
      <c r="H22" s="29">
        <f>SUMIF('2.1'!B$14:B$25,свод!B22,'2.1'!H$14:H$25)+SUMIF('2.2'!B$14:B$25,свод!B22,'2.2'!H$14:H$25)+SUMIF('2.3'!B$14:B$25,свод!B22,'2.3'!H$14:H$25)+SUMIF('2.4'!B$14:B$25,свод!B22,'2.4'!H$14:H$25)+SUMIF('2.5'!B$14:B$25,свод!B22,'2.5'!H$14:H$25)+SUMIF('2.6'!B$14:B$25,свод!B22,'2.6'!H$14:H$25)</f>
        <v>0</v>
      </c>
      <c r="I22" s="29">
        <f>SUMIF('2.1'!B$14:B$25,свод!B22,'2.1'!I$14:I$25)+SUMIF('2.2'!B$14:B$25,свод!B22,'2.2'!I$14:I$25)+SUMIF('2.3'!B$14:B$25,свод!B22,'2.3'!I$14:I$25)+SUMIF('2.4'!B$14:B$25,свод!B22,'2.4'!I$14:I$25)+SUMIF('2.5'!B$14:B$25,свод!B22,'2.5'!I$14:I$25)+SUMIF('2.6'!B$14:B$25,свод!B22,'2.6'!I$14:I$25)+SUMIF('3гпх'!B$15:B$26,свод!B22,'3гпх'!F$15:F$26)+SUMIF(дивид!B$15:B$26,свод!B22,дивид!G$15:G$26)</f>
        <v>0</v>
      </c>
      <c r="J22" s="29">
        <f>SUMIF('2.1'!B$14:B$25,свод!B22,'2.1'!J$14:J$25)+SUMIF('2.2'!B$14:B$25,свод!B22,'2.2'!J$14:J$25)+SUMIF('2.3'!B$14:B$25,свод!B22,'2.3'!J$14:J$25)+SUMIF('2.4'!B$14:B$25,свод!B22,'2.4'!J$14:J$25)+SUMIF('2.5'!B$14:B$25,свод!B22,'2.5'!J$14:J$25)+SUMIF('2.6'!B$14:B$25,свод!B22,'2.6'!J$14:J$25)+SUMIF('3гпх'!B$15:B$26,свод!B22,'3гпх'!J$15:J$26)+SUMIF(дивид!B$15:B$26,свод!B22,дивид!H$15:H$26)</f>
        <v>0</v>
      </c>
      <c r="K22" s="29">
        <f>SUMIF('2.1'!B$14:B$25,свод!B22,'2.1'!K$14:K$25)+SUMIF('2.2'!B$14:B$25,свод!B22,'2.2'!K$14:K$25)+SUMIF('2.3'!B$14:B$25,свод!B22,'2.3'!K$14:K$25)+SUMIF('2.4'!B$14:B$25,свод!B22,'2.4'!K$14:K$25)+SUMIF('2.5'!B$14:B$25,свод!B22,'2.5'!K$14:K$25)+SUMIF('2.6'!B$14:B$25,свод!B22,'2.6'!K$14:K$25)+SUMIF('3гпх'!B$15:B$26,свод!B22,'3гпх'!L$15:L$26)+SUMIF(дивид!B$15:B$26,свод!B22,дивид!J$15:J$26)</f>
        <v>0</v>
      </c>
      <c r="L22" s="29">
        <f>SUMIF('2.1'!B$14:B$25,свод!B22,'2.1'!L$14:L$25)+SUMIF('2.2'!B$14:B$25,свод!B22,'2.2'!L$14:L$25)+SUMIF('2.3'!B$14:B$25,свод!B22,'2.3'!L$14:L$25)+SUMIF('2.4'!B$14:B$25,свод!B22,'2.4'!L$14:L$25)+SUMIF('2.5'!B$14:B$25,свод!B22,'2.5'!L$14:L$25)+SUMIF('2.6'!B$14:B$25,свод!B22,'2.6'!L$14:L$25)+SUMIF('3гпх'!B$15:B$26,свод!B22,'3гпх'!M$15:M$26)+SUMIF(дивид!B$15:B$26,свод!B22,дивид!K$15:K$26)</f>
        <v>0</v>
      </c>
      <c r="M22" s="29">
        <f>SUMIF('2.1'!B$14:B$25,свод!B22,'2.1'!M$14:M$25)+SUMIF('2.2'!B$14:B$25,свод!B22,'2.2'!M$14:M$25)+SUMIF('2.3'!B$14:B$25,свод!B22,'2.3'!M$14:M$25)+SUMIF('2.4'!B$14:B$25,свод!B22,'2.4'!M$14:M$25)+SUMIF('2.5'!B$14:B$25,свод!B22,'2.5'!M$14:M$25)+SUMIF('2.6'!B$14:B$25,свод!B22,'2.6'!M$14:M$25)+SUMIF('3гпх'!B$15:B$26,свод!B22,'4гпх'!E$3:E$14)</f>
        <v>0</v>
      </c>
      <c r="N22" s="29">
        <f>SUMIF('2.1'!B$14:B$25,свод!B22,'2.1'!N$14:N$25)+SUMIF('2.2'!B$14:B$25,свод!B22,'2.2'!N$14:N$25)+SUMIF('2.3'!B$14:B$25,свод!B22,'2.3'!N$14:N$25)+SUMIF('2.4'!B$14:B$25,свод!B22,'2.4'!N$14:N$25)+SUMIF('2.5'!B$14:B$25,свод!B22,'2.5'!N$14:N$25)+SUMIF('2.6'!B$14:B$25,свод!B22,'2.6'!N$14:N$25)+SUMIF('3гпх'!B$15:B$26,свод!B22,'4гпх'!F$3:F$14)</f>
        <v>0</v>
      </c>
      <c r="O22" s="29"/>
      <c r="P22" s="29">
        <f>SUMIF('2.1'!B$14:B$25,свод!B22,'2.1'!P$14:P$25)+SUMIF('2.2'!B$14:B$25,свод!B22,'2.2'!P$14:P$25)+SUMIF('2.3'!B$14:B$25,свод!B22,'2.3'!P$14:P$25)+SUMIF('2.4'!B$14:B$25,свод!B22,'2.4'!P$14:P$25)+SUMIF('2.5'!B$14:B$25,свод!B22,'2.5'!P$14:P$25)+SUMIF('2.6'!B$14:B$25,свод!B22,'2.6'!P$14:P$25)+SUMIF('3гпх'!B$15:B$26,свод!B22,'3гпх'!G$15:G$26)</f>
        <v>0</v>
      </c>
      <c r="Q22" s="29">
        <f>SUMIF('2.1'!B$14:B$25,свод!B22,'2.1'!Q$14:Q$25)+SUMIF('2.2'!B$14:B$25,свод!B22,'2.2'!Q$14:Q$25)+SUMIF('2.3'!B$14:B$25,свод!B22,'2.3'!Q$14:Q$25)+SUMIF('2.4'!B$14:B$25,свод!B22,'2.4'!Q$14:Q$25)+SUMIF('2.5'!B$14:B$25,свод!B22,'2.5'!Q$14:Q$25)+SUMIF('2.6'!B$14:B$25,свод!B22,'2.6'!Q$14:Q$25)</f>
        <v>0</v>
      </c>
      <c r="R22" s="29">
        <f>SUMIF('2.1'!B$14:B$25,свод!B22,'2.1'!R$14:R$25)+SUMIF('2.2'!B$14:B$25,свод!B22,'2.2'!R$14:R$25)+SUMIF('2.3'!B$14:B$25,свод!B22,'2.3'!R$14:R$25)+SUMIF('2.4'!B$14:B$25,свод!B22,'2.4'!R$14:R$25)+SUMIF('2.5'!B$14:B$25,свод!B22,'2.5'!R$14:R$25)+SUMIF('2.6'!B$14:B$25,свод!B22,'2.6'!R$14:R$25)</f>
        <v>0</v>
      </c>
      <c r="S22" s="29">
        <f>SUMIF('2.1'!B$14:B$25,свод!B22,'2.1'!S$14:S$25)+SUMIF('2.2'!B$14:B$25,свод!B22,'2.2'!S$14:S$25)+SUMIF('2.3'!B$14:B$25,свод!B22,'2.3'!S$14:S$25)+SUMIF('2.4'!B$14:B$25,свод!B22,'2.4'!S$14:S$25)+SUMIF('2.5'!B$14:B$25,свод!B22,'2.5'!S$14:S$25)+SUMIF('2.6'!B$14:B$25,свод!B22,'2.6'!S$14:S$25)</f>
        <v>0</v>
      </c>
      <c r="T22" s="29">
        <f>SUMIF('2.1'!B$14:B$25,свод!B22,'2.1'!T$14:T$25)+SUMIF('2.2'!B$14:B$25,свод!B22,'2.2'!T$14:T$25)+SUMIF('2.3'!B$14:B$25,свод!B22,'2.3'!T$14:T$25)+SUMIF('2.4'!B$14:B$25,свод!B22,'2.4'!T$14:T$25)+SUMIF('2.5'!B$14:B$25,свод!B22,'2.5'!T$14:T$25)+SUMIF('2.6'!B$14:B$25,свод!B22,'2.6'!T$14:T$25)</f>
        <v>0</v>
      </c>
      <c r="U22" s="29">
        <f>SUMIF('2.1'!B$14:B$25,свод!B22,'2.1'!U$14:U$25)+SUMIF('2.2'!B$14:B$25,свод!B22,'2.2'!U$14:U$25)+SUMIF('2.3'!B$14:B$25,свод!B22,'2.3'!U$14:U$25)+SUMIF('2.4'!B$14:B$25,свод!B22,'2.4'!U$14:U$25)+SUMIF('2.5'!B$14:B$25,свод!B22,'2.5'!U$14:U$25)+SUMIF('2.6'!B$14:B$25,свод!B22,'2.6'!U$14:U$25)</f>
        <v>0</v>
      </c>
      <c r="V22" s="29">
        <f>SUMIF('2.1'!B$14:B$25,свод!B22,'2.1'!V$14:V$25)+SUMIF('2.2'!B$14:B$25,свод!B22,'2.2'!V$14:V$25)+SUMIF('2.3'!B$14:B$25,свод!B22,'2.3'!V$14:V$25)+SUMIF('2.4'!B$14:B$25,свод!B22,'2.4'!V$14:V$25)+SUMIF('2.5'!B$14:B$25,свод!B22,'2.5'!V$14:V$25)+SUMIF('2.6'!B$14:B$25,свод!B22,'2.6'!V$14:V$25)</f>
        <v>0</v>
      </c>
      <c r="W22" s="34"/>
      <c r="X22" s="64"/>
      <c r="Y22" s="10"/>
      <c r="Z22" s="29">
        <f>SUMIF('2.1'!B$14:B$25,свод!B22,'2.1'!Z$14:Z$25)+SUMIF('2.2'!B$14:B$25,свод!B22,'2.2'!Z$14:Z$25)+SUMIF('2.3'!B$14:B$25,свод!B22,'2.3'!Z$14:Z$25)+SUMIF('2.4'!B$14:B$25,свод!B22,'2.4'!Z$14:Z$25)+SUMIF('2.5'!B$14:B$25,свод!B22,'2.5'!Z$14:Z$25)+SUMIF('2.6'!B$14:B$25,свод!B22,'2.6'!Z$14:Z$25)+SUMIF('3гпх'!B$15:B$26,свод!B22,'4гпх'!D$3:D$14)</f>
        <v>0</v>
      </c>
      <c r="AA22" s="29">
        <f>SUMIF('2.1'!B$14:B$25,свод!B22,'2.1'!AA$14:AA$25)+SUMIF('2.2'!B$14:B$25,свод!B22,'2.2'!AA$14:AA$25)+SUMIF('2.3'!B$14:B$25,свод!B22,'2.3'!AA$14:AA$25)+SUMIF('2.4'!B$14:B$25,свод!B22,'2.4'!AA$14:AA$25)+SUMIF('2.5'!B$14:B$25,свод!B22,'2.5'!AA$14:AA$25)+SUMIF('2.6'!B$14:B$25,свод!B22,'2.6'!AA$14:AA$25)+SUMIF('3гпх'!B$15:B$26,свод!B22,'4гпх'!I$3:I$14)</f>
        <v>0</v>
      </c>
      <c r="AB22" s="29">
        <f>SUMIF('2.1'!B$14:B$25,свод!B22,'2.1'!AB$14:AB$25)+SUMIF('2.2'!B$14:B$25,свод!B22,'2.2'!AB$14:AB$25)+SUMIF('2.3'!B$14:B$25,свод!B22,'2.3'!AB$14:AB$25)+SUMIF('2.4'!B$14:B$25,свод!B22,'2.4'!AB$14:AB$25)+SUMIF('2.5'!B$14:B$25,свод!B22,'2.5'!AB$14:AB$25)+SUMIF('2.6'!B$14:B$25,свод!B22,'2.6'!AB$14:AB$25)</f>
        <v>0</v>
      </c>
      <c r="AC22" s="29">
        <f>SUMIF('2.1'!B$14:B$25,свод!B22,'2.1'!AC$14:AC$25)+SUMIF('2.2'!B$14:B$25,свод!B22,'2.2'!AC$14:AC$25)+SUMIF('2.3'!B$14:B$25,свод!B22,'2.3'!AC$14:AC$25)+SUMIF('2.4'!B$14:B$25,свод!B22,'2.4'!AC$14:AC$25)+SUMIF('2.5'!B$14:B$25,свод!B22,'2.5'!AC$14:AC$25)+SUMIF('2.6'!B$14:B$25,свод!B22,'2.6'!AC$14:AC$25)+SUMIF('3гпх'!B$15:B$26,свод!B22,'3гпх'!H$15:H$26)</f>
        <v>0</v>
      </c>
      <c r="AD22" s="34"/>
      <c r="AE22" s="29">
        <f>SUMIF('2.1'!B$14:B$25,свод!B22,'2.1'!AE$14:AE$25)+SUMIF('2.2'!B$14:B$25,свод!B22,'2.2'!AE$14:AE$25)+SUMIF('2.3'!B$14:B$25,свод!B22,'2.3'!AE$14:AE$25)+SUMIF('2.4'!B$14:B$25,свод!B22,'2.4'!AE$14:AE$25)+SUMIF('2.5'!B$14:B$25,свод!B22,'2.5'!AE$14:AE$25)+SUMIF('2.6'!B$14:B$25,свод!B22,'2.6'!AE$14:AE$25)+SUMIF('3гпх'!B$15:B$26,свод!B22,'3гпх'!AM$15:AM$26)+SUMIF(дивид!B$15:B$26,свод!B22,дивид!AK$15:AK$26)</f>
        <v>0</v>
      </c>
      <c r="AF22" s="29">
        <f>SUMIF('2.1'!B$14:B$25,свод!B22,'2.1'!AF$14:AF$25)+SUMIF('2.2'!B$14:B$25,свод!B22,'2.2'!AF$14:AF$25)+SUMIF('2.3'!B$14:B$25,свод!B22,'2.3'!AF$14:AF$25)+SUMIF('2.4'!B$14:B$25,свод!B22,'2.4'!AF$14:AF$25)+SUMIF('2.5'!B$14:B$25,свод!B22,'2.5'!AF$14:AF$25)+SUMIF('2.6'!B$14:B$25,свод!B22,'2.6'!AF$14:AF$25)+SUMIF('3гпх'!B$15:B$26,свод!B22,'3гпх'!AN$15:AN$26)+SUMIF(дивид!B$15:B$26,свод!B22,дивид!AL$15:AL$26)</f>
        <v>0</v>
      </c>
    </row>
    <row r="23" spans="1:32" x14ac:dyDescent="0.2">
      <c r="A23" s="26">
        <v>10</v>
      </c>
      <c r="B23" s="26"/>
      <c r="C23" s="28"/>
      <c r="D23" s="29">
        <f>SUMIF('2.1'!B$14:B$25,свод!B23,'2.1'!D$14:D$25)+SUMIF('2.2'!B$14:B$25,свод!B23,'2.2'!D$14:D$25)+SUMIF('2.3'!B$14:B$25,свод!B23,'2.3'!D$14:D$25)+SUMIF('2.4'!B$14:B$25,свод!B23,'2.4'!D$14:D$25)+SUMIF('2.5'!B$14:B$25,свод!B23,'2.5'!D$14:D$25)+SUMIF('2.6'!B$14:B$25,свод!B23,'2.6'!D$14:D$25)+SUMIF('3гпх'!B$15:B$26,свод!B23,'3гпх'!E$15:E$26)+SUMIF(дивид!B$15:B$26,свод!B23,дивид!F$15:F$26)</f>
        <v>0</v>
      </c>
      <c r="E23" s="29">
        <f>SUMIF('2.1'!B$14:B$25,свод!B23,'2.1'!E$14:E$25)+SUMIF('2.2'!B$14:B$25,свод!B23,'2.2'!E$14:E$25)+SUMIF('2.3'!B$14:B$25,свод!B23,'2.3'!E$14:E$25)+SUMIF('2.4'!B$14:B$25,свод!B23,'2.4'!E$14:E$25)+SUMIF('2.5'!B$14:B$25,свод!B23,'2.5'!E$14:E$25)+SUMIF('2.6'!B$14:B$25,свод!B23,'2.6'!E$14:E$25)</f>
        <v>0</v>
      </c>
      <c r="F23" s="29">
        <f>SUMIF('2.1'!B$14:B$25,свод!B23,'2.1'!AC$14:AC$25)+SUMIF('2.2'!B$14:B$25,свод!B23,'2.2'!AC$14:AC$25)+SUMIF('2.3'!B$14:B$25,свод!B23,'2.3'!AC$14:AC$25)+SUMIF('2.4'!B$14:B$25,свод!B23,'2.4'!AC$14:AC$25)+SUMIF('2.5'!B$14:B$25,свод!B23,'2.5'!AC$14:AC$25)+SUMIF('2.6'!B$14:B$25,свод!B23,'2.6'!AC$14:AC$25)+SUMIF('3гпх'!B$15:B$26,свод!B23,'3гпх'!H$15:H$26)</f>
        <v>0</v>
      </c>
      <c r="G23" s="29">
        <f>SUMIF('2.1'!B$14:B$25,свод!B23,'2.1'!G$14:G$25)+SUMIF('2.2'!B$14:B$25,свод!B23,'2.2'!G$14:G$25)+SUMIF('2.3'!B$14:B$25,свод!B23,'2.3'!G$14:G$25)+SUMIF('2.4'!B$14:B$25,свод!B23,'2.4'!G$14:G$25)+SUMIF('2.5'!B$14:B$25,свод!B23,'2.5'!G$14:G$25)+SUMIF('2.6'!B$14:B$25,свод!B23,'2.6'!G$14:G$25)+SUMIF('3гпх'!B$15:B$26,свод!B23,'3гпх'!I$15:I$26)</f>
        <v>0</v>
      </c>
      <c r="H23" s="29">
        <f>SUMIF('2.1'!B$14:B$25,свод!B23,'2.1'!H$14:H$25)+SUMIF('2.2'!B$14:B$25,свод!B23,'2.2'!H$14:H$25)+SUMIF('2.3'!B$14:B$25,свод!B23,'2.3'!H$14:H$25)+SUMIF('2.4'!B$14:B$25,свод!B23,'2.4'!H$14:H$25)+SUMIF('2.5'!B$14:B$25,свод!B23,'2.5'!H$14:H$25)+SUMIF('2.6'!B$14:B$25,свод!B23,'2.6'!H$14:H$25)</f>
        <v>0</v>
      </c>
      <c r="I23" s="29">
        <f>SUMIF('2.1'!B$14:B$25,свод!B23,'2.1'!I$14:I$25)+SUMIF('2.2'!B$14:B$25,свод!B23,'2.2'!I$14:I$25)+SUMIF('2.3'!B$14:B$25,свод!B23,'2.3'!I$14:I$25)+SUMIF('2.4'!B$14:B$25,свод!B23,'2.4'!I$14:I$25)+SUMIF('2.5'!B$14:B$25,свод!B23,'2.5'!I$14:I$25)+SUMIF('2.6'!B$14:B$25,свод!B23,'2.6'!I$14:I$25)+SUMIF('3гпх'!B$15:B$26,свод!B23,'3гпх'!F$15:F$26)+SUMIF(дивид!B$15:B$26,свод!B23,дивид!G$15:G$26)</f>
        <v>0</v>
      </c>
      <c r="J23" s="29">
        <f>SUMIF('2.1'!B$14:B$25,свод!B23,'2.1'!J$14:J$25)+SUMIF('2.2'!B$14:B$25,свод!B23,'2.2'!J$14:J$25)+SUMIF('2.3'!B$14:B$25,свод!B23,'2.3'!J$14:J$25)+SUMIF('2.4'!B$14:B$25,свод!B23,'2.4'!J$14:J$25)+SUMIF('2.5'!B$14:B$25,свод!B23,'2.5'!J$14:J$25)+SUMIF('2.6'!B$14:B$25,свод!B23,'2.6'!J$14:J$25)+SUMIF('3гпх'!B$15:B$26,свод!B23,'3гпх'!J$15:J$26)+SUMIF(дивид!B$15:B$26,свод!B23,дивид!H$15:H$26)</f>
        <v>0</v>
      </c>
      <c r="K23" s="29">
        <f>SUMIF('2.1'!B$14:B$25,свод!B23,'2.1'!K$14:K$25)+SUMIF('2.2'!B$14:B$25,свод!B23,'2.2'!K$14:K$25)+SUMIF('2.3'!B$14:B$25,свод!B23,'2.3'!K$14:K$25)+SUMIF('2.4'!B$14:B$25,свод!B23,'2.4'!K$14:K$25)+SUMIF('2.5'!B$14:B$25,свод!B23,'2.5'!K$14:K$25)+SUMIF('2.6'!B$14:B$25,свод!B23,'2.6'!K$14:K$25)+SUMIF('3гпх'!B$15:B$26,свод!B23,'3гпх'!L$15:L$26)+SUMIF(дивид!B$15:B$26,свод!B23,дивид!J$15:J$26)</f>
        <v>0</v>
      </c>
      <c r="L23" s="29">
        <f>SUMIF('2.1'!B$14:B$25,свод!B23,'2.1'!L$14:L$25)+SUMIF('2.2'!B$14:B$25,свод!B23,'2.2'!L$14:L$25)+SUMIF('2.3'!B$14:B$25,свод!B23,'2.3'!L$14:L$25)+SUMIF('2.4'!B$14:B$25,свод!B23,'2.4'!L$14:L$25)+SUMIF('2.5'!B$14:B$25,свод!B23,'2.5'!L$14:L$25)+SUMIF('2.6'!B$14:B$25,свод!B23,'2.6'!L$14:L$25)+SUMIF('3гпх'!B$15:B$26,свод!B23,'3гпх'!M$15:M$26)+SUMIF(дивид!B$15:B$26,свод!B23,дивид!K$15:K$26)</f>
        <v>0</v>
      </c>
      <c r="M23" s="29">
        <f>SUMIF('2.1'!B$14:B$25,свод!B23,'2.1'!M$14:M$25)+SUMIF('2.2'!B$14:B$25,свод!B23,'2.2'!M$14:M$25)+SUMIF('2.3'!B$14:B$25,свод!B23,'2.3'!M$14:M$25)+SUMIF('2.4'!B$14:B$25,свод!B23,'2.4'!M$14:M$25)+SUMIF('2.5'!B$14:B$25,свод!B23,'2.5'!M$14:M$25)+SUMIF('2.6'!B$14:B$25,свод!B23,'2.6'!M$14:M$25)+SUMIF('3гпх'!B$15:B$26,свод!B23,'4гпх'!E$3:E$14)</f>
        <v>0</v>
      </c>
      <c r="N23" s="29">
        <f>SUMIF('2.1'!B$14:B$25,свод!B23,'2.1'!N$14:N$25)+SUMIF('2.2'!B$14:B$25,свод!B23,'2.2'!N$14:N$25)+SUMIF('2.3'!B$14:B$25,свод!B23,'2.3'!N$14:N$25)+SUMIF('2.4'!B$14:B$25,свод!B23,'2.4'!N$14:N$25)+SUMIF('2.5'!B$14:B$25,свод!B23,'2.5'!N$14:N$25)+SUMIF('2.6'!B$14:B$25,свод!B23,'2.6'!N$14:N$25)+SUMIF('3гпх'!B$15:B$26,свод!B23,'4гпх'!F$3:F$14)</f>
        <v>0</v>
      </c>
      <c r="O23" s="29"/>
      <c r="P23" s="29">
        <f>SUMIF('2.1'!B$14:B$25,свод!B23,'2.1'!P$14:P$25)+SUMIF('2.2'!B$14:B$25,свод!B23,'2.2'!P$14:P$25)+SUMIF('2.3'!B$14:B$25,свод!B23,'2.3'!P$14:P$25)+SUMIF('2.4'!B$14:B$25,свод!B23,'2.4'!P$14:P$25)+SUMIF('2.5'!B$14:B$25,свод!B23,'2.5'!P$14:P$25)+SUMIF('2.6'!B$14:B$25,свод!B23,'2.6'!P$14:P$25)+SUMIF('3гпх'!B$15:B$26,свод!B23,'3гпх'!G$15:G$26)</f>
        <v>0</v>
      </c>
      <c r="Q23" s="29">
        <f>SUMIF('2.1'!B$14:B$25,свод!B23,'2.1'!Q$14:Q$25)+SUMIF('2.2'!B$14:B$25,свод!B23,'2.2'!Q$14:Q$25)+SUMIF('2.3'!B$14:B$25,свод!B23,'2.3'!Q$14:Q$25)+SUMIF('2.4'!B$14:B$25,свод!B23,'2.4'!Q$14:Q$25)+SUMIF('2.5'!B$14:B$25,свод!B23,'2.5'!Q$14:Q$25)+SUMIF('2.6'!B$14:B$25,свод!B23,'2.6'!Q$14:Q$25)</f>
        <v>0</v>
      </c>
      <c r="R23" s="29">
        <f>SUMIF('2.1'!B$14:B$25,свод!B23,'2.1'!R$14:R$25)+SUMIF('2.2'!B$14:B$25,свод!B23,'2.2'!R$14:R$25)+SUMIF('2.3'!B$14:B$25,свод!B23,'2.3'!R$14:R$25)+SUMIF('2.4'!B$14:B$25,свод!B23,'2.4'!R$14:R$25)+SUMIF('2.5'!B$14:B$25,свод!B23,'2.5'!R$14:R$25)+SUMIF('2.6'!B$14:B$25,свод!B23,'2.6'!R$14:R$25)</f>
        <v>0</v>
      </c>
      <c r="S23" s="29">
        <f>SUMIF('2.1'!B$14:B$25,свод!B23,'2.1'!S$14:S$25)+SUMIF('2.2'!B$14:B$25,свод!B23,'2.2'!S$14:S$25)+SUMIF('2.3'!B$14:B$25,свод!B23,'2.3'!S$14:S$25)+SUMIF('2.4'!B$14:B$25,свод!B23,'2.4'!S$14:S$25)+SUMIF('2.5'!B$14:B$25,свод!B23,'2.5'!S$14:S$25)+SUMIF('2.6'!B$14:B$25,свод!B23,'2.6'!S$14:S$25)</f>
        <v>0</v>
      </c>
      <c r="T23" s="29">
        <f>SUMIF('2.1'!B$14:B$25,свод!B23,'2.1'!T$14:T$25)+SUMIF('2.2'!B$14:B$25,свод!B23,'2.2'!T$14:T$25)+SUMIF('2.3'!B$14:B$25,свод!B23,'2.3'!T$14:T$25)+SUMIF('2.4'!B$14:B$25,свод!B23,'2.4'!T$14:T$25)+SUMIF('2.5'!B$14:B$25,свод!B23,'2.5'!T$14:T$25)+SUMIF('2.6'!B$14:B$25,свод!B23,'2.6'!T$14:T$25)</f>
        <v>0</v>
      </c>
      <c r="U23" s="29">
        <f>SUMIF('2.1'!B$14:B$25,свод!B23,'2.1'!U$14:U$25)+SUMIF('2.2'!B$14:B$25,свод!B23,'2.2'!U$14:U$25)+SUMIF('2.3'!B$14:B$25,свод!B23,'2.3'!U$14:U$25)+SUMIF('2.4'!B$14:B$25,свод!B23,'2.4'!U$14:U$25)+SUMIF('2.5'!B$14:B$25,свод!B23,'2.5'!U$14:U$25)+SUMIF('2.6'!B$14:B$25,свод!B23,'2.6'!U$14:U$25)</f>
        <v>0</v>
      </c>
      <c r="V23" s="29">
        <f>SUMIF('2.1'!B$14:B$25,свод!B23,'2.1'!V$14:V$25)+SUMIF('2.2'!B$14:B$25,свод!B23,'2.2'!V$14:V$25)+SUMIF('2.3'!B$14:B$25,свод!B23,'2.3'!V$14:V$25)+SUMIF('2.4'!B$14:B$25,свод!B23,'2.4'!V$14:V$25)+SUMIF('2.5'!B$14:B$25,свод!B23,'2.5'!V$14:V$25)+SUMIF('2.6'!B$14:B$25,свод!B23,'2.6'!V$14:V$25)</f>
        <v>0</v>
      </c>
      <c r="W23" s="34"/>
      <c r="X23" s="64"/>
      <c r="Y23" s="10"/>
      <c r="Z23" s="29">
        <f>SUMIF('2.1'!B$14:B$25,свод!B23,'2.1'!Z$14:Z$25)+SUMIF('2.2'!B$14:B$25,свод!B23,'2.2'!Z$14:Z$25)+SUMIF('2.3'!B$14:B$25,свод!B23,'2.3'!Z$14:Z$25)+SUMIF('2.4'!B$14:B$25,свод!B23,'2.4'!Z$14:Z$25)+SUMIF('2.5'!B$14:B$25,свод!B23,'2.5'!Z$14:Z$25)+SUMIF('2.6'!B$14:B$25,свод!B23,'2.6'!Z$14:Z$25)+SUMIF('3гпх'!B$15:B$26,свод!B23,'4гпх'!D$3:D$14)</f>
        <v>0</v>
      </c>
      <c r="AA23" s="29">
        <f>SUMIF('2.1'!B$14:B$25,свод!B23,'2.1'!AA$14:AA$25)+SUMIF('2.2'!B$14:B$25,свод!B23,'2.2'!AA$14:AA$25)+SUMIF('2.3'!B$14:B$25,свод!B23,'2.3'!AA$14:AA$25)+SUMIF('2.4'!B$14:B$25,свод!B23,'2.4'!AA$14:AA$25)+SUMIF('2.5'!B$14:B$25,свод!B23,'2.5'!AA$14:AA$25)+SUMIF('2.6'!B$14:B$25,свод!B23,'2.6'!AA$14:AA$25)+SUMIF('3гпх'!B$15:B$26,свод!B23,'4гпх'!I$3:I$14)</f>
        <v>0</v>
      </c>
      <c r="AB23" s="29">
        <f>SUMIF('2.1'!B$14:B$25,свод!B23,'2.1'!AB$14:AB$25)+SUMIF('2.2'!B$14:B$25,свод!B23,'2.2'!AB$14:AB$25)+SUMIF('2.3'!B$14:B$25,свод!B23,'2.3'!AB$14:AB$25)+SUMIF('2.4'!B$14:B$25,свод!B23,'2.4'!AB$14:AB$25)+SUMIF('2.5'!B$14:B$25,свод!B23,'2.5'!AB$14:AB$25)+SUMIF('2.6'!B$14:B$25,свод!B23,'2.6'!AB$14:AB$25)</f>
        <v>0</v>
      </c>
      <c r="AC23" s="29">
        <f>SUMIF('2.1'!B$14:B$25,свод!B23,'2.1'!AC$14:AC$25)+SUMIF('2.2'!B$14:B$25,свод!B23,'2.2'!AC$14:AC$25)+SUMIF('2.3'!B$14:B$25,свод!B23,'2.3'!AC$14:AC$25)+SUMIF('2.4'!B$14:B$25,свод!B23,'2.4'!AC$14:AC$25)+SUMIF('2.5'!B$14:B$25,свод!B23,'2.5'!AC$14:AC$25)+SUMIF('2.6'!B$14:B$25,свод!B23,'2.6'!AC$14:AC$25)+SUMIF('3гпх'!B$15:B$26,свод!B23,'3гпх'!H$15:H$26)</f>
        <v>0</v>
      </c>
      <c r="AD23" s="34"/>
      <c r="AE23" s="29">
        <f>SUMIF('2.1'!B$14:B$25,свод!B23,'2.1'!AE$14:AE$25)+SUMIF('2.2'!B$14:B$25,свод!B23,'2.2'!AE$14:AE$25)+SUMIF('2.3'!B$14:B$25,свод!B23,'2.3'!AE$14:AE$25)+SUMIF('2.4'!B$14:B$25,свод!B23,'2.4'!AE$14:AE$25)+SUMIF('2.5'!B$14:B$25,свод!B23,'2.5'!AE$14:AE$25)+SUMIF('2.6'!B$14:B$25,свод!B23,'2.6'!AE$14:AE$25)+SUMIF('3гпх'!B$15:B$26,свод!B23,'3гпх'!AM$15:AM$26)+SUMIF(дивид!B$15:B$26,свод!B23,дивид!AK$15:AK$26)</f>
        <v>0</v>
      </c>
      <c r="AF23" s="29">
        <f>SUMIF('2.1'!B$14:B$25,свод!B23,'2.1'!AF$14:AF$25)+SUMIF('2.2'!B$14:B$25,свод!B23,'2.2'!AF$14:AF$25)+SUMIF('2.3'!B$14:B$25,свод!B23,'2.3'!AF$14:AF$25)+SUMIF('2.4'!B$14:B$25,свод!B23,'2.4'!AF$14:AF$25)+SUMIF('2.5'!B$14:B$25,свод!B23,'2.5'!AF$14:AF$25)+SUMIF('2.6'!B$14:B$25,свод!B23,'2.6'!AF$14:AF$25)+SUMIF('3гпх'!B$15:B$26,свод!B23,'3гпх'!AN$15:AN$26)+SUMIF(дивид!B$15:B$26,свод!B23,дивид!AL$15:AL$26)</f>
        <v>0</v>
      </c>
    </row>
    <row r="24" spans="1:32" x14ac:dyDescent="0.2">
      <c r="A24" s="26">
        <v>11</v>
      </c>
      <c r="B24" s="26"/>
      <c r="C24" s="28"/>
      <c r="D24" s="29">
        <f>SUMIF('2.1'!B$14:B$25,свод!B24,'2.1'!D$14:D$25)+SUMIF('2.2'!B$14:B$25,свод!B24,'2.2'!D$14:D$25)+SUMIF('2.3'!B$14:B$25,свод!B24,'2.3'!D$14:D$25)+SUMIF('2.4'!B$14:B$25,свод!B24,'2.4'!D$14:D$25)+SUMIF('2.5'!B$14:B$25,свод!B24,'2.5'!D$14:D$25)+SUMIF('2.6'!B$14:B$25,свод!B24,'2.6'!D$14:D$25)+SUMIF('3гпх'!B$15:B$26,свод!B24,'3гпх'!E$15:E$26)+SUMIF(дивид!B$15:B$26,свод!B24,дивид!F$15:F$26)</f>
        <v>0</v>
      </c>
      <c r="E24" s="29">
        <f>SUMIF('2.1'!B$14:B$25,свод!B24,'2.1'!E$14:E$25)+SUMIF('2.2'!B$14:B$25,свод!B24,'2.2'!E$14:E$25)+SUMIF('2.3'!B$14:B$25,свод!B24,'2.3'!E$14:E$25)+SUMIF('2.4'!B$14:B$25,свод!B24,'2.4'!E$14:E$25)+SUMIF('2.5'!B$14:B$25,свод!B24,'2.5'!E$14:E$25)+SUMIF('2.6'!B$14:B$25,свод!B24,'2.6'!E$14:E$25)</f>
        <v>0</v>
      </c>
      <c r="F24" s="29">
        <f>SUMIF('2.1'!B$14:B$25,свод!B24,'2.1'!AC$14:AC$25)+SUMIF('2.2'!B$14:B$25,свод!B24,'2.2'!AC$14:AC$25)+SUMIF('2.3'!B$14:B$25,свод!B24,'2.3'!AC$14:AC$25)+SUMIF('2.4'!B$14:B$25,свод!B24,'2.4'!AC$14:AC$25)+SUMIF('2.5'!B$14:B$25,свод!B24,'2.5'!AC$14:AC$25)+SUMIF('2.6'!B$14:B$25,свод!B24,'2.6'!AC$14:AC$25)+SUMIF('3гпх'!B$15:B$26,свод!B24,'3гпх'!H$15:H$26)</f>
        <v>0</v>
      </c>
      <c r="G24" s="29">
        <f>SUMIF('2.1'!B$14:B$25,свод!B24,'2.1'!G$14:G$25)+SUMIF('2.2'!B$14:B$25,свод!B24,'2.2'!G$14:G$25)+SUMIF('2.3'!B$14:B$25,свод!B24,'2.3'!G$14:G$25)+SUMIF('2.4'!B$14:B$25,свод!B24,'2.4'!G$14:G$25)+SUMIF('2.5'!B$14:B$25,свод!B24,'2.5'!G$14:G$25)+SUMIF('2.6'!B$14:B$25,свод!B24,'2.6'!G$14:G$25)+SUMIF('3гпх'!B$15:B$26,свод!B24,'3гпх'!I$15:I$26)</f>
        <v>0</v>
      </c>
      <c r="H24" s="29">
        <f>SUMIF('2.1'!B$14:B$25,свод!B24,'2.1'!H$14:H$25)+SUMIF('2.2'!B$14:B$25,свод!B24,'2.2'!H$14:H$25)+SUMIF('2.3'!B$14:B$25,свод!B24,'2.3'!H$14:H$25)+SUMIF('2.4'!B$14:B$25,свод!B24,'2.4'!H$14:H$25)+SUMIF('2.5'!B$14:B$25,свод!B24,'2.5'!H$14:H$25)+SUMIF('2.6'!B$14:B$25,свод!B24,'2.6'!H$14:H$25)</f>
        <v>0</v>
      </c>
      <c r="I24" s="29">
        <f>SUMIF('2.1'!B$14:B$25,свод!B24,'2.1'!I$14:I$25)+SUMIF('2.2'!B$14:B$25,свод!B24,'2.2'!I$14:I$25)+SUMIF('2.3'!B$14:B$25,свод!B24,'2.3'!I$14:I$25)+SUMIF('2.4'!B$14:B$25,свод!B24,'2.4'!I$14:I$25)+SUMIF('2.5'!B$14:B$25,свод!B24,'2.5'!I$14:I$25)+SUMIF('2.6'!B$14:B$25,свод!B24,'2.6'!I$14:I$25)+SUMIF('3гпх'!B$15:B$26,свод!B24,'3гпх'!F$15:F$26)+SUMIF(дивид!B$15:B$26,свод!B24,дивид!G$15:G$26)</f>
        <v>0</v>
      </c>
      <c r="J24" s="29">
        <f>SUMIF('2.1'!B$14:B$25,свод!B24,'2.1'!J$14:J$25)+SUMIF('2.2'!B$14:B$25,свод!B24,'2.2'!J$14:J$25)+SUMIF('2.3'!B$14:B$25,свод!B24,'2.3'!J$14:J$25)+SUMIF('2.4'!B$14:B$25,свод!B24,'2.4'!J$14:J$25)+SUMIF('2.5'!B$14:B$25,свод!B24,'2.5'!J$14:J$25)+SUMIF('2.6'!B$14:B$25,свод!B24,'2.6'!J$14:J$25)+SUMIF('3гпх'!B$15:B$26,свод!B24,'3гпх'!J$15:J$26)+SUMIF(дивид!B$15:B$26,свод!B24,дивид!H$15:H$26)</f>
        <v>0</v>
      </c>
      <c r="K24" s="29">
        <f>SUMIF('2.1'!B$14:B$25,свод!B24,'2.1'!K$14:K$25)+SUMIF('2.2'!B$14:B$25,свод!B24,'2.2'!K$14:K$25)+SUMIF('2.3'!B$14:B$25,свод!B24,'2.3'!K$14:K$25)+SUMIF('2.4'!B$14:B$25,свод!B24,'2.4'!K$14:K$25)+SUMIF('2.5'!B$14:B$25,свод!B24,'2.5'!K$14:K$25)+SUMIF('2.6'!B$14:B$25,свод!B24,'2.6'!K$14:K$25)+SUMIF('3гпх'!B$15:B$26,свод!B24,'3гпх'!L$15:L$26)+SUMIF(дивид!B$15:B$26,свод!B24,дивид!J$15:J$26)</f>
        <v>0</v>
      </c>
      <c r="L24" s="29">
        <f>SUMIF('2.1'!B$14:B$25,свод!B24,'2.1'!L$14:L$25)+SUMIF('2.2'!B$14:B$25,свод!B24,'2.2'!L$14:L$25)+SUMIF('2.3'!B$14:B$25,свод!B24,'2.3'!L$14:L$25)+SUMIF('2.4'!B$14:B$25,свод!B24,'2.4'!L$14:L$25)+SUMIF('2.5'!B$14:B$25,свод!B24,'2.5'!L$14:L$25)+SUMIF('2.6'!B$14:B$25,свод!B24,'2.6'!L$14:L$25)+SUMIF('3гпх'!B$15:B$26,свод!B24,'3гпх'!M$15:M$26)+SUMIF(дивид!B$15:B$26,свод!B24,дивид!K$15:K$26)</f>
        <v>0</v>
      </c>
      <c r="M24" s="29">
        <f>SUMIF('2.1'!B$14:B$25,свод!B24,'2.1'!M$14:M$25)+SUMIF('2.2'!B$14:B$25,свод!B24,'2.2'!M$14:M$25)+SUMIF('2.3'!B$14:B$25,свод!B24,'2.3'!M$14:M$25)+SUMIF('2.4'!B$14:B$25,свод!B24,'2.4'!M$14:M$25)+SUMIF('2.5'!B$14:B$25,свод!B24,'2.5'!M$14:M$25)+SUMIF('2.6'!B$14:B$25,свод!B24,'2.6'!M$14:M$25)+SUMIF('3гпх'!B$15:B$26,свод!B24,'4гпх'!E$3:E$14)</f>
        <v>0</v>
      </c>
      <c r="N24" s="29">
        <f>SUMIF('2.1'!B$14:B$25,свод!B24,'2.1'!N$14:N$25)+SUMIF('2.2'!B$14:B$25,свод!B24,'2.2'!N$14:N$25)+SUMIF('2.3'!B$14:B$25,свод!B24,'2.3'!N$14:N$25)+SUMIF('2.4'!B$14:B$25,свод!B24,'2.4'!N$14:N$25)+SUMIF('2.5'!B$14:B$25,свод!B24,'2.5'!N$14:N$25)+SUMIF('2.6'!B$14:B$25,свод!B24,'2.6'!N$14:N$25)+SUMIF('3гпх'!B$15:B$26,свод!B24,'4гпх'!F$3:F$14)</f>
        <v>0</v>
      </c>
      <c r="O24" s="29"/>
      <c r="P24" s="29">
        <f>SUMIF('2.1'!B$14:B$25,свод!B24,'2.1'!P$14:P$25)+SUMIF('2.2'!B$14:B$25,свод!B24,'2.2'!P$14:P$25)+SUMIF('2.3'!B$14:B$25,свод!B24,'2.3'!P$14:P$25)+SUMIF('2.4'!B$14:B$25,свод!B24,'2.4'!P$14:P$25)+SUMIF('2.5'!B$14:B$25,свод!B24,'2.5'!P$14:P$25)+SUMIF('2.6'!B$14:B$25,свод!B24,'2.6'!P$14:P$25)+SUMIF('3гпх'!B$15:B$26,свод!B24,'3гпх'!G$15:G$26)</f>
        <v>0</v>
      </c>
      <c r="Q24" s="29">
        <f>SUMIF('2.1'!B$14:B$25,свод!B24,'2.1'!Q$14:Q$25)+SUMIF('2.2'!B$14:B$25,свод!B24,'2.2'!Q$14:Q$25)+SUMIF('2.3'!B$14:B$25,свод!B24,'2.3'!Q$14:Q$25)+SUMIF('2.4'!B$14:B$25,свод!B24,'2.4'!Q$14:Q$25)+SUMIF('2.5'!B$14:B$25,свод!B24,'2.5'!Q$14:Q$25)+SUMIF('2.6'!B$14:B$25,свод!B24,'2.6'!Q$14:Q$25)</f>
        <v>0</v>
      </c>
      <c r="R24" s="29">
        <f>SUMIF('2.1'!B$14:B$25,свод!B24,'2.1'!R$14:R$25)+SUMIF('2.2'!B$14:B$25,свод!B24,'2.2'!R$14:R$25)+SUMIF('2.3'!B$14:B$25,свод!B24,'2.3'!R$14:R$25)+SUMIF('2.4'!B$14:B$25,свод!B24,'2.4'!R$14:R$25)+SUMIF('2.5'!B$14:B$25,свод!B24,'2.5'!R$14:R$25)+SUMIF('2.6'!B$14:B$25,свод!B24,'2.6'!R$14:R$25)</f>
        <v>0</v>
      </c>
      <c r="S24" s="29">
        <f>SUMIF('2.1'!B$14:B$25,свод!B24,'2.1'!S$14:S$25)+SUMIF('2.2'!B$14:B$25,свод!B24,'2.2'!S$14:S$25)+SUMIF('2.3'!B$14:B$25,свод!B24,'2.3'!S$14:S$25)+SUMIF('2.4'!B$14:B$25,свод!B24,'2.4'!S$14:S$25)+SUMIF('2.5'!B$14:B$25,свод!B24,'2.5'!S$14:S$25)+SUMIF('2.6'!B$14:B$25,свод!B24,'2.6'!S$14:S$25)</f>
        <v>0</v>
      </c>
      <c r="T24" s="29">
        <f>SUMIF('2.1'!B$14:B$25,свод!B24,'2.1'!T$14:T$25)+SUMIF('2.2'!B$14:B$25,свод!B24,'2.2'!T$14:T$25)+SUMIF('2.3'!B$14:B$25,свод!B24,'2.3'!T$14:T$25)+SUMIF('2.4'!B$14:B$25,свод!B24,'2.4'!T$14:T$25)+SUMIF('2.5'!B$14:B$25,свод!B24,'2.5'!T$14:T$25)+SUMIF('2.6'!B$14:B$25,свод!B24,'2.6'!T$14:T$25)</f>
        <v>0</v>
      </c>
      <c r="U24" s="29">
        <f>SUMIF('2.1'!B$14:B$25,свод!B24,'2.1'!U$14:U$25)+SUMIF('2.2'!B$14:B$25,свод!B24,'2.2'!U$14:U$25)+SUMIF('2.3'!B$14:B$25,свод!B24,'2.3'!U$14:U$25)+SUMIF('2.4'!B$14:B$25,свод!B24,'2.4'!U$14:U$25)+SUMIF('2.5'!B$14:B$25,свод!B24,'2.5'!U$14:U$25)+SUMIF('2.6'!B$14:B$25,свод!B24,'2.6'!U$14:U$25)</f>
        <v>0</v>
      </c>
      <c r="V24" s="29">
        <f>SUMIF('2.1'!B$14:B$25,свод!B24,'2.1'!V$14:V$25)+SUMIF('2.2'!B$14:B$25,свод!B24,'2.2'!V$14:V$25)+SUMIF('2.3'!B$14:B$25,свод!B24,'2.3'!V$14:V$25)+SUMIF('2.4'!B$14:B$25,свод!B24,'2.4'!V$14:V$25)+SUMIF('2.5'!B$14:B$25,свод!B24,'2.5'!V$14:V$25)+SUMIF('2.6'!B$14:B$25,свод!B24,'2.6'!V$14:V$25)</f>
        <v>0</v>
      </c>
      <c r="W24" s="34"/>
      <c r="X24" s="64"/>
      <c r="Y24" s="10"/>
      <c r="Z24" s="29">
        <f>SUMIF('2.1'!B$14:B$25,свод!B24,'2.1'!Z$14:Z$25)+SUMIF('2.2'!B$14:B$25,свод!B24,'2.2'!Z$14:Z$25)+SUMIF('2.3'!B$14:B$25,свод!B24,'2.3'!Z$14:Z$25)+SUMIF('2.4'!B$14:B$25,свод!B24,'2.4'!Z$14:Z$25)+SUMIF('2.5'!B$14:B$25,свод!B24,'2.5'!Z$14:Z$25)+SUMIF('2.6'!B$14:B$25,свод!B24,'2.6'!Z$14:Z$25)+SUMIF('3гпх'!B$15:B$26,свод!B24,'4гпх'!D$3:D$14)</f>
        <v>0</v>
      </c>
      <c r="AA24" s="29">
        <f>SUMIF('2.1'!B$14:B$25,свод!B24,'2.1'!AA$14:AA$25)+SUMIF('2.2'!B$14:B$25,свод!B24,'2.2'!AA$14:AA$25)+SUMIF('2.3'!B$14:B$25,свод!B24,'2.3'!AA$14:AA$25)+SUMIF('2.4'!B$14:B$25,свод!B24,'2.4'!AA$14:AA$25)+SUMIF('2.5'!B$14:B$25,свод!B24,'2.5'!AA$14:AA$25)+SUMIF('2.6'!B$14:B$25,свод!B24,'2.6'!AA$14:AA$25)+SUMIF('3гпх'!B$15:B$26,свод!B24,'4гпх'!I$3:I$14)</f>
        <v>0</v>
      </c>
      <c r="AB24" s="29">
        <f>SUMIF('2.1'!B$14:B$25,свод!B24,'2.1'!AB$14:AB$25)+SUMIF('2.2'!B$14:B$25,свод!B24,'2.2'!AB$14:AB$25)+SUMIF('2.3'!B$14:B$25,свод!B24,'2.3'!AB$14:AB$25)+SUMIF('2.4'!B$14:B$25,свод!B24,'2.4'!AB$14:AB$25)+SUMIF('2.5'!B$14:B$25,свод!B24,'2.5'!AB$14:AB$25)+SUMIF('2.6'!B$14:B$25,свод!B24,'2.6'!AB$14:AB$25)</f>
        <v>0</v>
      </c>
      <c r="AC24" s="29">
        <f>SUMIF('2.1'!B$14:B$25,свод!B24,'2.1'!AC$14:AC$25)+SUMIF('2.2'!B$14:B$25,свод!B24,'2.2'!AC$14:AC$25)+SUMIF('2.3'!B$14:B$25,свод!B24,'2.3'!AC$14:AC$25)+SUMIF('2.4'!B$14:B$25,свод!B24,'2.4'!AC$14:AC$25)+SUMIF('2.5'!B$14:B$25,свод!B24,'2.5'!AC$14:AC$25)+SUMIF('2.6'!B$14:B$25,свод!B24,'2.6'!AC$14:AC$25)+SUMIF('3гпх'!B$15:B$26,свод!B24,'3гпх'!H$15:H$26)</f>
        <v>0</v>
      </c>
      <c r="AD24" s="34"/>
      <c r="AE24" s="29">
        <f>SUMIF('2.1'!B$14:B$25,свод!B24,'2.1'!AE$14:AE$25)+SUMIF('2.2'!B$14:B$25,свод!B24,'2.2'!AE$14:AE$25)+SUMIF('2.3'!B$14:B$25,свод!B24,'2.3'!AE$14:AE$25)+SUMIF('2.4'!B$14:B$25,свод!B24,'2.4'!AE$14:AE$25)+SUMIF('2.5'!B$14:B$25,свод!B24,'2.5'!AE$14:AE$25)+SUMIF('2.6'!B$14:B$25,свод!B24,'2.6'!AE$14:AE$25)+SUMIF('3гпх'!B$15:B$26,свод!B24,'3гпх'!AM$15:AM$26)+SUMIF(дивид!B$15:B$26,свод!B24,дивид!AK$15:AK$26)</f>
        <v>0</v>
      </c>
      <c r="AF24" s="29">
        <f>SUMIF('2.1'!B$14:B$25,свод!B24,'2.1'!AF$14:AF$25)+SUMIF('2.2'!B$14:B$25,свод!B24,'2.2'!AF$14:AF$25)+SUMIF('2.3'!B$14:B$25,свод!B24,'2.3'!AF$14:AF$25)+SUMIF('2.4'!B$14:B$25,свод!B24,'2.4'!AF$14:AF$25)+SUMIF('2.5'!B$14:B$25,свод!B24,'2.5'!AF$14:AF$25)+SUMIF('2.6'!B$14:B$25,свод!B24,'2.6'!AF$14:AF$25)+SUMIF('3гпх'!B$15:B$26,свод!B24,'3гпх'!AN$15:AN$26)+SUMIF(дивид!B$15:B$26,свод!B24,дивид!AL$15:AL$26)</f>
        <v>0</v>
      </c>
    </row>
    <row r="25" spans="1:32" x14ac:dyDescent="0.2">
      <c r="A25" s="26">
        <v>12</v>
      </c>
      <c r="B25" s="26"/>
      <c r="C25" s="28"/>
      <c r="D25" s="29">
        <f>SUMIF('2.1'!B$14:B$25,свод!B25,'2.1'!D$14:D$25)+SUMIF('2.2'!B$14:B$25,свод!B25,'2.2'!D$14:D$25)+SUMIF('2.3'!B$14:B$25,свод!B25,'2.3'!D$14:D$25)+SUMIF('2.4'!B$14:B$25,свод!B25,'2.4'!D$14:D$25)+SUMIF('2.5'!B$14:B$25,свод!B25,'2.5'!D$14:D$25)+SUMIF('2.6'!B$14:B$25,свод!B25,'2.6'!D$14:D$25)+SUMIF('3гпх'!B$15:B$26,свод!B25,'3гпх'!E$15:E$26)+SUMIF(дивид!B$15:B$26,свод!B25,дивид!F$15:F$26)</f>
        <v>0</v>
      </c>
      <c r="E25" s="29">
        <f>SUMIF('2.1'!B$14:B$25,свод!B25,'2.1'!E$14:E$25)+SUMIF('2.2'!B$14:B$25,свод!B25,'2.2'!E$14:E$25)+SUMIF('2.3'!B$14:B$25,свод!B25,'2.3'!E$14:E$25)+SUMIF('2.4'!B$14:B$25,свод!B25,'2.4'!E$14:E$25)+SUMIF('2.5'!B$14:B$25,свод!B25,'2.5'!E$14:E$25)+SUMIF('2.6'!B$14:B$25,свод!B25,'2.6'!E$14:E$25)</f>
        <v>0</v>
      </c>
      <c r="F25" s="29">
        <f>SUMIF('2.1'!B$14:B$25,свод!B25,'2.1'!AC$14:AC$25)+SUMIF('2.2'!B$14:B$25,свод!B25,'2.2'!AC$14:AC$25)+SUMIF('2.3'!B$14:B$25,свод!B25,'2.3'!AC$14:AC$25)+SUMIF('2.4'!B$14:B$25,свод!B25,'2.4'!AC$14:AC$25)+SUMIF('2.5'!B$14:B$25,свод!B25,'2.5'!AC$14:AC$25)+SUMIF('2.6'!B$14:B$25,свод!B25,'2.6'!AC$14:AC$25)+SUMIF('3гпх'!B$15:B$26,свод!B25,'3гпх'!H$15:H$26)</f>
        <v>0</v>
      </c>
      <c r="G25" s="29">
        <f>SUMIF('2.1'!B$14:B$25,свод!B25,'2.1'!G$14:G$25)+SUMIF('2.2'!B$14:B$25,свод!B25,'2.2'!G$14:G$25)+SUMIF('2.3'!B$14:B$25,свод!B25,'2.3'!G$14:G$25)+SUMIF('2.4'!B$14:B$25,свод!B25,'2.4'!G$14:G$25)+SUMIF('2.5'!B$14:B$25,свод!B25,'2.5'!G$14:G$25)+SUMIF('2.6'!B$14:B$25,свод!B25,'2.6'!G$14:G$25)+SUMIF('3гпх'!B$15:B$26,свод!B25,'3гпх'!I$15:I$26)</f>
        <v>0</v>
      </c>
      <c r="H25" s="29">
        <f>SUMIF('2.1'!B$14:B$25,свод!B25,'2.1'!H$14:H$25)+SUMIF('2.2'!B$14:B$25,свод!B25,'2.2'!H$14:H$25)+SUMIF('2.3'!B$14:B$25,свод!B25,'2.3'!H$14:H$25)+SUMIF('2.4'!B$14:B$25,свод!B25,'2.4'!H$14:H$25)+SUMIF('2.5'!B$14:B$25,свод!B25,'2.5'!H$14:H$25)+SUMIF('2.6'!B$14:B$25,свод!B25,'2.6'!H$14:H$25)</f>
        <v>0</v>
      </c>
      <c r="I25" s="29">
        <f>SUMIF('2.1'!B$14:B$25,свод!B25,'2.1'!I$14:I$25)+SUMIF('2.2'!B$14:B$25,свод!B25,'2.2'!I$14:I$25)+SUMIF('2.3'!B$14:B$25,свод!B25,'2.3'!I$14:I$25)+SUMIF('2.4'!B$14:B$25,свод!B25,'2.4'!I$14:I$25)+SUMIF('2.5'!B$14:B$25,свод!B25,'2.5'!I$14:I$25)+SUMIF('2.6'!B$14:B$25,свод!B25,'2.6'!I$14:I$25)+SUMIF('3гпх'!B$15:B$26,свод!B25,'3гпх'!F$15:F$26)+SUMIF(дивид!B$15:B$26,свод!B25,дивид!G$15:G$26)</f>
        <v>0</v>
      </c>
      <c r="J25" s="29">
        <f>SUMIF('2.1'!B$14:B$25,свод!B25,'2.1'!J$14:J$25)+SUMIF('2.2'!B$14:B$25,свод!B25,'2.2'!J$14:J$25)+SUMIF('2.3'!B$14:B$25,свод!B25,'2.3'!J$14:J$25)+SUMIF('2.4'!B$14:B$25,свод!B25,'2.4'!J$14:J$25)+SUMIF('2.5'!B$14:B$25,свод!B25,'2.5'!J$14:J$25)+SUMIF('2.6'!B$14:B$25,свод!B25,'2.6'!J$14:J$25)+SUMIF('3гпх'!B$15:B$26,свод!B25,'3гпх'!J$15:J$26)+SUMIF(дивид!B$15:B$26,свод!B25,дивид!H$15:H$26)</f>
        <v>0</v>
      </c>
      <c r="K25" s="29">
        <f>SUMIF('2.1'!B$14:B$25,свод!B25,'2.1'!K$14:K$25)+SUMIF('2.2'!B$14:B$25,свод!B25,'2.2'!K$14:K$25)+SUMIF('2.3'!B$14:B$25,свод!B25,'2.3'!K$14:K$25)+SUMIF('2.4'!B$14:B$25,свод!B25,'2.4'!K$14:K$25)+SUMIF('2.5'!B$14:B$25,свод!B25,'2.5'!K$14:K$25)+SUMIF('2.6'!B$14:B$25,свод!B25,'2.6'!K$14:K$25)+SUMIF('3гпх'!B$15:B$26,свод!B25,'3гпх'!L$15:L$26)+SUMIF(дивид!B$15:B$26,свод!B25,дивид!J$15:J$26)</f>
        <v>0</v>
      </c>
      <c r="L25" s="29">
        <f>SUMIF('2.1'!B$14:B$25,свод!B25,'2.1'!L$14:L$25)+SUMIF('2.2'!B$14:B$25,свод!B25,'2.2'!L$14:L$25)+SUMIF('2.3'!B$14:B$25,свод!B25,'2.3'!L$14:L$25)+SUMIF('2.4'!B$14:B$25,свод!B25,'2.4'!L$14:L$25)+SUMIF('2.5'!B$14:B$25,свод!B25,'2.5'!L$14:L$25)+SUMIF('2.6'!B$14:B$25,свод!B25,'2.6'!L$14:L$25)+SUMIF('3гпх'!B$15:B$26,свод!B25,'3гпх'!M$15:M$26)+SUMIF(дивид!B$15:B$26,свод!B25,дивид!K$15:K$26)</f>
        <v>0</v>
      </c>
      <c r="M25" s="29">
        <f>SUMIF('2.1'!B$14:B$25,свод!B25,'2.1'!M$14:M$25)+SUMIF('2.2'!B$14:B$25,свод!B25,'2.2'!M$14:M$25)+SUMIF('2.3'!B$14:B$25,свод!B25,'2.3'!M$14:M$25)+SUMIF('2.4'!B$14:B$25,свод!B25,'2.4'!M$14:M$25)+SUMIF('2.5'!B$14:B$25,свод!B25,'2.5'!M$14:M$25)+SUMIF('2.6'!B$14:B$25,свод!B25,'2.6'!M$14:M$25)+SUMIF('3гпх'!B$15:B$26,свод!B25,'4гпх'!E$3:E$14)</f>
        <v>0</v>
      </c>
      <c r="N25" s="29">
        <f>SUMIF('2.1'!B$14:B$25,свод!B25,'2.1'!N$14:N$25)+SUMIF('2.2'!B$14:B$25,свод!B25,'2.2'!N$14:N$25)+SUMIF('2.3'!B$14:B$25,свод!B25,'2.3'!N$14:N$25)+SUMIF('2.4'!B$14:B$25,свод!B25,'2.4'!N$14:N$25)+SUMIF('2.5'!B$14:B$25,свод!B25,'2.5'!N$14:N$25)+SUMIF('2.6'!B$14:B$25,свод!B25,'2.6'!N$14:N$25)+SUMIF('3гпх'!B$15:B$26,свод!B25,'4гпх'!F$3:F$14)</f>
        <v>0</v>
      </c>
      <c r="O25" s="29"/>
      <c r="P25" s="29">
        <f>SUMIF('2.1'!B$14:B$25,свод!B25,'2.1'!P$14:P$25)+SUMIF('2.2'!B$14:B$25,свод!B25,'2.2'!P$14:P$25)+SUMIF('2.3'!B$14:B$25,свод!B25,'2.3'!P$14:P$25)+SUMIF('2.4'!B$14:B$25,свод!B25,'2.4'!P$14:P$25)+SUMIF('2.5'!B$14:B$25,свод!B25,'2.5'!P$14:P$25)+SUMIF('2.6'!B$14:B$25,свод!B25,'2.6'!P$14:P$25)+SUMIF('3гпх'!B$15:B$26,свод!B25,'3гпх'!G$15:G$26)</f>
        <v>0</v>
      </c>
      <c r="Q25" s="29">
        <f>SUMIF('2.1'!B$14:B$25,свод!B25,'2.1'!Q$14:Q$25)+SUMIF('2.2'!B$14:B$25,свод!B25,'2.2'!Q$14:Q$25)+SUMIF('2.3'!B$14:B$25,свод!B25,'2.3'!Q$14:Q$25)+SUMIF('2.4'!B$14:B$25,свод!B25,'2.4'!Q$14:Q$25)+SUMIF('2.5'!B$14:B$25,свод!B25,'2.5'!Q$14:Q$25)+SUMIF('2.6'!B$14:B$25,свод!B25,'2.6'!Q$14:Q$25)</f>
        <v>0</v>
      </c>
      <c r="R25" s="29">
        <f>SUMIF('2.1'!B$14:B$25,свод!B25,'2.1'!R$14:R$25)+SUMIF('2.2'!B$14:B$25,свод!B25,'2.2'!R$14:R$25)+SUMIF('2.3'!B$14:B$25,свод!B25,'2.3'!R$14:R$25)+SUMIF('2.4'!B$14:B$25,свод!B25,'2.4'!R$14:R$25)+SUMIF('2.5'!B$14:B$25,свод!B25,'2.5'!R$14:R$25)+SUMIF('2.6'!B$14:B$25,свод!B25,'2.6'!R$14:R$25)</f>
        <v>0</v>
      </c>
      <c r="S25" s="29">
        <f>SUMIF('2.1'!B$14:B$25,свод!B25,'2.1'!S$14:S$25)+SUMIF('2.2'!B$14:B$25,свод!B25,'2.2'!S$14:S$25)+SUMIF('2.3'!B$14:B$25,свод!B25,'2.3'!S$14:S$25)+SUMIF('2.4'!B$14:B$25,свод!B25,'2.4'!S$14:S$25)+SUMIF('2.5'!B$14:B$25,свод!B25,'2.5'!S$14:S$25)+SUMIF('2.6'!B$14:B$25,свод!B25,'2.6'!S$14:S$25)</f>
        <v>0</v>
      </c>
      <c r="T25" s="29">
        <f>SUMIF('2.1'!B$14:B$25,свод!B25,'2.1'!T$14:T$25)+SUMIF('2.2'!B$14:B$25,свод!B25,'2.2'!T$14:T$25)+SUMIF('2.3'!B$14:B$25,свод!B25,'2.3'!T$14:T$25)+SUMIF('2.4'!B$14:B$25,свод!B25,'2.4'!T$14:T$25)+SUMIF('2.5'!B$14:B$25,свод!B25,'2.5'!T$14:T$25)+SUMIF('2.6'!B$14:B$25,свод!B25,'2.6'!T$14:T$25)</f>
        <v>0</v>
      </c>
      <c r="U25" s="29">
        <f>SUMIF('2.1'!B$14:B$25,свод!B25,'2.1'!U$14:U$25)+SUMIF('2.2'!B$14:B$25,свод!B25,'2.2'!U$14:U$25)+SUMIF('2.3'!B$14:B$25,свод!B25,'2.3'!U$14:U$25)+SUMIF('2.4'!B$14:B$25,свод!B25,'2.4'!U$14:U$25)+SUMIF('2.5'!B$14:B$25,свод!B25,'2.5'!U$14:U$25)+SUMIF('2.6'!B$14:B$25,свод!B25,'2.6'!U$14:U$25)</f>
        <v>0</v>
      </c>
      <c r="V25" s="29">
        <f>SUMIF('2.1'!B$14:B$25,свод!B25,'2.1'!V$14:V$25)+SUMIF('2.2'!B$14:B$25,свод!B25,'2.2'!V$14:V$25)+SUMIF('2.3'!B$14:B$25,свод!B25,'2.3'!V$14:V$25)+SUMIF('2.4'!B$14:B$25,свод!B25,'2.4'!V$14:V$25)+SUMIF('2.5'!B$14:B$25,свод!B25,'2.5'!V$14:V$25)+SUMIF('2.6'!B$14:B$25,свод!B25,'2.6'!V$14:V$25)</f>
        <v>0</v>
      </c>
      <c r="W25" s="34"/>
      <c r="X25" s="64"/>
      <c r="Y25" s="10"/>
      <c r="Z25" s="29">
        <f>SUMIF('2.1'!B$14:B$25,свод!B25,'2.1'!Z$14:Z$25)+SUMIF('2.2'!B$14:B$25,свод!B25,'2.2'!Z$14:Z$25)+SUMIF('2.3'!B$14:B$25,свод!B25,'2.3'!Z$14:Z$25)+SUMIF('2.4'!B$14:B$25,свод!B25,'2.4'!Z$14:Z$25)+SUMIF('2.5'!B$14:B$25,свод!B25,'2.5'!Z$14:Z$25)+SUMIF('2.6'!B$14:B$25,свод!B25,'2.6'!Z$14:Z$25)+SUMIF('3гпх'!B$15:B$26,свод!B25,'4гпх'!D$3:D$14)</f>
        <v>0</v>
      </c>
      <c r="AA25" s="29">
        <f>SUMIF('2.1'!B$14:B$25,свод!B25,'2.1'!AA$14:AA$25)+SUMIF('2.2'!B$14:B$25,свод!B25,'2.2'!AA$14:AA$25)+SUMIF('2.3'!B$14:B$25,свод!B25,'2.3'!AA$14:AA$25)+SUMIF('2.4'!B$14:B$25,свод!B25,'2.4'!AA$14:AA$25)+SUMIF('2.5'!B$14:B$25,свод!B25,'2.5'!AA$14:AA$25)+SUMIF('2.6'!B$14:B$25,свод!B25,'2.6'!AA$14:AA$25)+SUMIF('3гпх'!B$15:B$26,свод!B25,'4гпх'!I$3:I$14)</f>
        <v>0</v>
      </c>
      <c r="AB25" s="29">
        <f>SUMIF('2.1'!B$14:B$25,свод!B25,'2.1'!AB$14:AB$25)+SUMIF('2.2'!B$14:B$25,свод!B25,'2.2'!AB$14:AB$25)+SUMIF('2.3'!B$14:B$25,свод!B25,'2.3'!AB$14:AB$25)+SUMIF('2.4'!B$14:B$25,свод!B25,'2.4'!AB$14:AB$25)+SUMIF('2.5'!B$14:B$25,свод!B25,'2.5'!AB$14:AB$25)+SUMIF('2.6'!B$14:B$25,свод!B25,'2.6'!AB$14:AB$25)</f>
        <v>0</v>
      </c>
      <c r="AC25" s="29">
        <f>SUMIF('2.1'!B$14:B$25,свод!B25,'2.1'!AC$14:AC$25)+SUMIF('2.2'!B$14:B$25,свод!B25,'2.2'!AC$14:AC$25)+SUMIF('2.3'!B$14:B$25,свод!B25,'2.3'!AC$14:AC$25)+SUMIF('2.4'!B$14:B$25,свод!B25,'2.4'!AC$14:AC$25)+SUMIF('2.5'!B$14:B$25,свод!B25,'2.5'!AC$14:AC$25)+SUMIF('2.6'!B$14:B$25,свод!B25,'2.6'!AC$14:AC$25)+SUMIF('3гпх'!B$15:B$26,свод!B25,'3гпх'!H$15:H$26)</f>
        <v>0</v>
      </c>
      <c r="AD25" s="34"/>
      <c r="AE25" s="29">
        <f>SUMIF('2.1'!B$14:B$25,свод!B25,'2.1'!AE$14:AE$25)+SUMIF('2.2'!B$14:B$25,свод!B25,'2.2'!AE$14:AE$25)+SUMIF('2.3'!B$14:B$25,свод!B25,'2.3'!AE$14:AE$25)+SUMIF('2.4'!B$14:B$25,свод!B25,'2.4'!AE$14:AE$25)+SUMIF('2.5'!B$14:B$25,свод!B25,'2.5'!AE$14:AE$25)+SUMIF('2.6'!B$14:B$25,свод!B25,'2.6'!AE$14:AE$25)+SUMIF('3гпх'!B$15:B$26,свод!B25,'3гпх'!AM$15:AM$26)+SUMIF(дивид!B$15:B$26,свод!B25,дивид!AK$15:AK$26)</f>
        <v>0</v>
      </c>
      <c r="AF25" s="29">
        <f>SUMIF('2.1'!B$14:B$25,свод!B25,'2.1'!AF$14:AF$25)+SUMIF('2.2'!B$14:B$25,свод!B25,'2.2'!AF$14:AF$25)+SUMIF('2.3'!B$14:B$25,свод!B25,'2.3'!AF$14:AF$25)+SUMIF('2.4'!B$14:B$25,свод!B25,'2.4'!AF$14:AF$25)+SUMIF('2.5'!B$14:B$25,свод!B25,'2.5'!AF$14:AF$25)+SUMIF('2.6'!B$14:B$25,свод!B25,'2.6'!AF$14:AF$25)+SUMIF('3гпх'!B$15:B$26,свод!B25,'3гпх'!AN$15:AN$26)+SUMIF(дивид!B$15:B$26,свод!B25,дивид!AL$15:AL$26)</f>
        <v>0</v>
      </c>
    </row>
    <row r="26" spans="1:32" x14ac:dyDescent="0.2">
      <c r="A26" s="402" t="s">
        <v>72</v>
      </c>
      <c r="B26" s="403"/>
      <c r="C26" s="15"/>
      <c r="D26" s="33">
        <f>SUM(D14:D25)</f>
        <v>5790000</v>
      </c>
      <c r="E26" s="33">
        <f t="shared" ref="E26:AC26" si="0">SUM(E14:E25)</f>
        <v>595000</v>
      </c>
      <c r="F26" s="33">
        <f t="shared" si="0"/>
        <v>61800</v>
      </c>
      <c r="G26" s="34">
        <f>SUM(G14:G25)</f>
        <v>0</v>
      </c>
      <c r="H26" s="34">
        <f t="shared" si="0"/>
        <v>0</v>
      </c>
      <c r="I26" s="34">
        <f t="shared" si="0"/>
        <v>0</v>
      </c>
      <c r="J26" s="33">
        <f t="shared" si="0"/>
        <v>4824200</v>
      </c>
      <c r="K26" s="33">
        <f t="shared" si="0"/>
        <v>136870</v>
      </c>
      <c r="L26" s="33">
        <f t="shared" si="0"/>
        <v>420550</v>
      </c>
      <c r="M26" s="33">
        <f t="shared" si="0"/>
        <v>0</v>
      </c>
      <c r="N26" s="33">
        <f t="shared" si="0"/>
        <v>3090000</v>
      </c>
      <c r="O26" s="33"/>
      <c r="P26" s="33">
        <f>SUM(P14:P25)</f>
        <v>309000</v>
      </c>
      <c r="Q26" s="33">
        <f t="shared" si="0"/>
        <v>0</v>
      </c>
      <c r="R26" s="33">
        <f t="shared" si="0"/>
        <v>2637000</v>
      </c>
      <c r="S26" s="33">
        <f t="shared" si="0"/>
        <v>2637000</v>
      </c>
      <c r="T26" s="33">
        <f>SUM(T14:T25)</f>
        <v>92295</v>
      </c>
      <c r="U26" s="33">
        <f t="shared" si="0"/>
        <v>0</v>
      </c>
      <c r="V26" s="33">
        <f>SUM(V14:V25)</f>
        <v>0</v>
      </c>
      <c r="W26" s="34"/>
      <c r="X26" s="64"/>
      <c r="Y26" s="33">
        <f t="shared" si="0"/>
        <v>0</v>
      </c>
      <c r="Z26" s="33">
        <f t="shared" si="0"/>
        <v>3090000</v>
      </c>
      <c r="AA26" s="33">
        <f t="shared" si="0"/>
        <v>3090000</v>
      </c>
      <c r="AB26" s="33">
        <f t="shared" si="0"/>
        <v>58600</v>
      </c>
      <c r="AC26" s="33">
        <f t="shared" si="0"/>
        <v>61800</v>
      </c>
      <c r="AD26" s="33"/>
      <c r="AE26" s="33">
        <f t="shared" ref="AE26:AF26" si="1">SUM(AE14:AE25)</f>
        <v>1990000</v>
      </c>
      <c r="AF26" s="33">
        <f t="shared" si="1"/>
        <v>3800000</v>
      </c>
    </row>
    <row r="27" spans="1:32" x14ac:dyDescent="0.2">
      <c r="A27" s="25"/>
      <c r="B27" s="25"/>
      <c r="C27" s="25"/>
      <c r="D27" s="25"/>
      <c r="E27" s="25"/>
      <c r="F27" s="25"/>
      <c r="G27" s="25"/>
    </row>
    <row r="28" spans="1:32" x14ac:dyDescent="0.2">
      <c r="A28" s="22"/>
      <c r="B28" s="22"/>
      <c r="C28" s="22"/>
      <c r="D28" s="22"/>
      <c r="E28" s="22"/>
      <c r="F28" s="25"/>
      <c r="G28" s="25"/>
    </row>
    <row r="29" spans="1:32" x14ac:dyDescent="0.2">
      <c r="A29" s="36" t="s">
        <v>62</v>
      </c>
    </row>
    <row r="31" spans="1:32" x14ac:dyDescent="0.2">
      <c r="A31" s="22"/>
      <c r="B31" s="22"/>
      <c r="C31" s="22"/>
      <c r="D31" s="22"/>
      <c r="E31" s="22"/>
      <c r="F31" s="25"/>
      <c r="G31" s="25"/>
    </row>
    <row r="32" spans="1:32" x14ac:dyDescent="0.2">
      <c r="A32" s="36" t="s">
        <v>63</v>
      </c>
    </row>
    <row r="34" spans="1:7" x14ac:dyDescent="0.2">
      <c r="A34" s="22"/>
      <c r="B34" s="22"/>
      <c r="C34" s="22"/>
      <c r="D34" s="22"/>
      <c r="E34" s="22"/>
      <c r="F34" s="25"/>
      <c r="G34" s="25"/>
    </row>
    <row r="35" spans="1:7" x14ac:dyDescent="0.2">
      <c r="A35" s="36" t="s">
        <v>73</v>
      </c>
    </row>
    <row r="37" spans="1:7" x14ac:dyDescent="0.2">
      <c r="A37" s="22"/>
      <c r="B37" s="22"/>
      <c r="C37" s="22"/>
      <c r="D37" s="22"/>
    </row>
    <row r="38" spans="1:7" x14ac:dyDescent="0.2">
      <c r="A38" s="36" t="s">
        <v>64</v>
      </c>
    </row>
    <row r="39" spans="1:7" x14ac:dyDescent="0.2">
      <c r="A39" s="25"/>
      <c r="B39" s="25"/>
      <c r="C39" s="25"/>
      <c r="D39" s="25"/>
      <c r="E39" s="25"/>
      <c r="F39" s="25"/>
      <c r="G39" s="25"/>
    </row>
  </sheetData>
  <mergeCells count="2">
    <mergeCell ref="A10:H10"/>
    <mergeCell ref="A26:B26"/>
  </mergeCell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Y66"/>
  <sheetViews>
    <sheetView topLeftCell="A13" workbookViewId="0">
      <pane xSplit="2" ySplit="2" topLeftCell="C15" activePane="bottomRight" state="frozen"/>
      <selection activeCell="A13" sqref="A13"/>
      <selection pane="topRight" activeCell="C13" sqref="C13"/>
      <selection pane="bottomLeft" activeCell="A15" sqref="A15"/>
      <selection pane="bottomRight" activeCell="A29" sqref="A29"/>
    </sheetView>
  </sheetViews>
  <sheetFormatPr defaultColWidth="8.7109375" defaultRowHeight="12.75" x14ac:dyDescent="0.2"/>
  <cols>
    <col min="1" max="1" width="5.85546875" style="16" customWidth="1"/>
    <col min="2" max="2" width="18.5703125" style="16" customWidth="1"/>
    <col min="3" max="3" width="16" style="16" customWidth="1"/>
    <col min="4" max="4" width="7.140625" style="16" customWidth="1"/>
    <col min="5" max="5" width="6.42578125" style="16" customWidth="1"/>
    <col min="6" max="6" width="15.28515625" style="16" customWidth="1"/>
    <col min="7" max="7" width="12.7109375" style="16" customWidth="1"/>
    <col min="8" max="8" width="13.140625" style="16" bestFit="1" customWidth="1"/>
    <col min="9" max="9" width="12" style="16" bestFit="1" customWidth="1"/>
    <col min="10" max="10" width="10.5703125" style="16" customWidth="1"/>
    <col min="11" max="11" width="11" style="16" customWidth="1"/>
    <col min="12" max="12" width="15.5703125" style="16" customWidth="1"/>
    <col min="13" max="13" width="12.140625" style="16" customWidth="1"/>
    <col min="14" max="14" width="12.5703125" style="16" customWidth="1"/>
    <col min="15" max="15" width="13.140625" style="16" customWidth="1"/>
    <col min="16" max="16" width="10.42578125" style="16" customWidth="1"/>
    <col min="17" max="17" width="13.7109375" style="16" customWidth="1"/>
    <col min="18" max="18" width="15.42578125" style="16" customWidth="1"/>
    <col min="19" max="19" width="16" style="16" customWidth="1"/>
    <col min="20" max="20" width="15.140625" style="16" customWidth="1"/>
    <col min="21" max="21" width="13" style="16" customWidth="1"/>
    <col min="22" max="22" width="12" style="16" customWidth="1"/>
    <col min="23" max="23" width="14.5703125" style="16" customWidth="1"/>
    <col min="24" max="24" width="8.7109375" style="16"/>
    <col min="25" max="25" width="15" style="19" bestFit="1" customWidth="1"/>
    <col min="26" max="27" width="14.5703125" style="16" bestFit="1" customWidth="1"/>
    <col min="28" max="28" width="11.85546875" style="16" bestFit="1" customWidth="1"/>
    <col min="29" max="29" width="11.85546875" style="16" customWidth="1"/>
    <col min="30" max="30" width="13.28515625" style="16" bestFit="1" customWidth="1"/>
    <col min="31" max="16384" width="8.7109375" style="16"/>
  </cols>
  <sheetData>
    <row r="2" spans="1:25" x14ac:dyDescent="0.2">
      <c r="B2" s="17" t="s">
        <v>249</v>
      </c>
      <c r="M2" s="18"/>
    </row>
    <row r="3" spans="1:25" x14ac:dyDescent="0.2">
      <c r="A3" s="20"/>
      <c r="B3" s="20"/>
      <c r="C3" s="20"/>
      <c r="D3" s="20"/>
      <c r="E3" s="20"/>
      <c r="F3" s="20"/>
    </row>
    <row r="4" spans="1:25" x14ac:dyDescent="0.2">
      <c r="A4" s="21" t="s">
        <v>67</v>
      </c>
      <c r="B4" s="22"/>
      <c r="C4" s="21"/>
      <c r="D4" s="407" t="str">
        <f>'910.00'!J10</f>
        <v>ТОО ААА</v>
      </c>
      <c r="E4" s="407"/>
      <c r="F4" s="407"/>
    </row>
    <row r="6" spans="1:25" x14ac:dyDescent="0.2">
      <c r="A6" s="16">
        <v>1</v>
      </c>
      <c r="B6" s="21" t="s">
        <v>68</v>
      </c>
      <c r="C6" s="21"/>
      <c r="D6" s="21"/>
      <c r="E6" s="21"/>
      <c r="F6" s="21"/>
    </row>
    <row r="7" spans="1:25" x14ac:dyDescent="0.2">
      <c r="A7" s="16">
        <v>2</v>
      </c>
      <c r="B7" s="23" t="s">
        <v>15</v>
      </c>
      <c r="C7" s="23"/>
      <c r="D7" s="23"/>
      <c r="E7" s="23"/>
      <c r="F7" s="24">
        <f>'910.00'!D8</f>
        <v>111111111111</v>
      </c>
    </row>
    <row r="8" spans="1:25" x14ac:dyDescent="0.2">
      <c r="A8" s="16">
        <v>3</v>
      </c>
      <c r="B8" s="21" t="s">
        <v>198</v>
      </c>
      <c r="C8" s="21"/>
      <c r="D8" s="21"/>
      <c r="E8" s="21"/>
      <c r="F8" s="21">
        <f>'910.00'!L12</f>
        <v>1</v>
      </c>
      <c r="G8" s="16">
        <f>'910.00'!O12</f>
        <v>2021</v>
      </c>
    </row>
    <row r="9" spans="1:25" x14ac:dyDescent="0.2">
      <c r="A9" s="25"/>
      <c r="B9" s="25"/>
      <c r="C9" s="25"/>
      <c r="D9" s="25"/>
      <c r="E9" s="25"/>
      <c r="F9" s="25"/>
      <c r="G9" s="25"/>
      <c r="H9" s="25"/>
      <c r="I9" s="25"/>
    </row>
    <row r="10" spans="1:25" ht="43.5" customHeight="1" x14ac:dyDescent="0.2">
      <c r="A10" s="401" t="s">
        <v>294</v>
      </c>
      <c r="B10" s="401"/>
      <c r="C10" s="401"/>
      <c r="D10" s="401"/>
      <c r="E10" s="401"/>
      <c r="F10" s="401"/>
      <c r="G10" s="401"/>
      <c r="H10" s="401"/>
      <c r="I10" s="401"/>
      <c r="J10" s="401"/>
    </row>
    <row r="11" spans="1:25" x14ac:dyDescent="0.2">
      <c r="A11" s="25"/>
      <c r="B11" s="25"/>
      <c r="C11" s="25"/>
      <c r="D11" s="25"/>
      <c r="E11" s="25"/>
      <c r="F11" s="25"/>
      <c r="G11" s="25"/>
      <c r="H11" s="25"/>
      <c r="I11" s="25"/>
    </row>
    <row r="12" spans="1:25" x14ac:dyDescent="0.2">
      <c r="A12" s="25"/>
      <c r="B12" s="25"/>
      <c r="C12" s="25"/>
      <c r="D12" s="25"/>
      <c r="E12" s="25"/>
      <c r="F12" s="25"/>
      <c r="G12" s="25"/>
      <c r="H12" s="25"/>
      <c r="I12" s="25"/>
    </row>
    <row r="13" spans="1:25" ht="102" x14ac:dyDescent="0.2">
      <c r="A13" s="13" t="s">
        <v>69</v>
      </c>
      <c r="B13" s="1" t="s">
        <v>256</v>
      </c>
      <c r="C13" s="13" t="s">
        <v>199</v>
      </c>
      <c r="D13" s="13" t="s">
        <v>200</v>
      </c>
      <c r="E13" s="13" t="s">
        <v>201</v>
      </c>
      <c r="F13" s="13" t="s">
        <v>202</v>
      </c>
      <c r="G13" s="13" t="s">
        <v>321</v>
      </c>
      <c r="H13" s="13" t="s">
        <v>237</v>
      </c>
      <c r="I13" s="13" t="s">
        <v>238</v>
      </c>
      <c r="J13" s="13" t="s">
        <v>239</v>
      </c>
      <c r="K13" s="13" t="s">
        <v>262</v>
      </c>
      <c r="L13" s="13" t="s">
        <v>240</v>
      </c>
      <c r="M13" s="13" t="s">
        <v>263</v>
      </c>
      <c r="N13" s="13" t="s">
        <v>241</v>
      </c>
      <c r="O13" s="13" t="s">
        <v>203</v>
      </c>
      <c r="P13" s="13" t="s">
        <v>257</v>
      </c>
      <c r="Q13" s="13" t="s">
        <v>204</v>
      </c>
      <c r="R13" s="13" t="s">
        <v>205</v>
      </c>
      <c r="S13" s="13" t="s">
        <v>242</v>
      </c>
      <c r="T13" s="13" t="s">
        <v>243</v>
      </c>
      <c r="U13" s="13" t="s">
        <v>291</v>
      </c>
      <c r="V13" s="13" t="s">
        <v>244</v>
      </c>
      <c r="W13" s="13" t="s">
        <v>245</v>
      </c>
      <c r="Y13" s="16"/>
    </row>
    <row r="14" spans="1:25" x14ac:dyDescent="0.2">
      <c r="A14" s="13" t="s">
        <v>185</v>
      </c>
      <c r="B14" s="13" t="s">
        <v>186</v>
      </c>
      <c r="C14" s="13" t="s">
        <v>187</v>
      </c>
      <c r="D14" s="13" t="s">
        <v>9</v>
      </c>
      <c r="E14" s="13" t="s">
        <v>206</v>
      </c>
      <c r="F14" s="13" t="s">
        <v>207</v>
      </c>
      <c r="G14" s="13" t="s">
        <v>208</v>
      </c>
      <c r="H14" s="13" t="s">
        <v>209</v>
      </c>
      <c r="I14" s="13" t="s">
        <v>106</v>
      </c>
      <c r="J14" s="13" t="s">
        <v>210</v>
      </c>
      <c r="K14" s="13" t="s">
        <v>211</v>
      </c>
      <c r="L14" s="13" t="s">
        <v>212</v>
      </c>
      <c r="M14" s="13" t="s">
        <v>213</v>
      </c>
      <c r="N14" s="13" t="s">
        <v>214</v>
      </c>
      <c r="O14" s="13" t="s">
        <v>215</v>
      </c>
      <c r="P14" s="13" t="s">
        <v>216</v>
      </c>
      <c r="Q14" s="13" t="s">
        <v>217</v>
      </c>
      <c r="R14" s="13" t="s">
        <v>218</v>
      </c>
      <c r="S14" s="13" t="s">
        <v>219</v>
      </c>
      <c r="T14" s="13" t="s">
        <v>246</v>
      </c>
      <c r="U14" s="13" t="s">
        <v>247</v>
      </c>
      <c r="V14" s="13" t="s">
        <v>113</v>
      </c>
      <c r="W14" s="13" t="s">
        <v>248</v>
      </c>
      <c r="Y14" s="16"/>
    </row>
    <row r="15" spans="1:25" x14ac:dyDescent="0.2">
      <c r="A15" s="26">
        <v>1</v>
      </c>
      <c r="B15" s="26" t="s">
        <v>371</v>
      </c>
      <c r="C15" s="27"/>
      <c r="D15" s="28">
        <v>1</v>
      </c>
      <c r="E15" s="28"/>
      <c r="F15" s="29">
        <f>SUMIF(свод!B$14:B$25,'910.01'!B15,свод!AE$14:AE$25)</f>
        <v>750000</v>
      </c>
      <c r="G15" s="30"/>
      <c r="H15" s="31">
        <f>SUMIF(свод!B$14:B$25,'910.01'!B15,свод!I$14:I$25)</f>
        <v>0</v>
      </c>
      <c r="I15" s="31">
        <f>SUMIF(свод!B$14:B$25,'910.01'!B15,свод!P$14:P$25)</f>
        <v>75000</v>
      </c>
      <c r="J15" s="31">
        <f>SUMIF(свод!B$14:B$25,'910.01'!B15,свод!AC$14:AC$25)</f>
        <v>15000</v>
      </c>
      <c r="K15" s="30"/>
      <c r="L15" s="31">
        <f>SUMIF(свод!B$14:B$25,'910.01'!B15,свод!E$14:E$25)+SUMIF(свод!B$14:B$25,'910.01'!B15,свод!G$14:G$25)</f>
        <v>127500</v>
      </c>
      <c r="M15" s="30"/>
      <c r="N15" s="31">
        <f>SUMIF(свод!B$14:B$25,'910.01'!B15,свод!H$14:H$25)</f>
        <v>0</v>
      </c>
      <c r="O15" s="31">
        <f>SUMIF(свод!B$14:B$25,'910.01'!B15,свод!K$14:K$25)</f>
        <v>53250</v>
      </c>
      <c r="P15" s="12"/>
      <c r="Q15" s="32">
        <f>F15-I15-J15-O15</f>
        <v>606750</v>
      </c>
      <c r="R15" s="38">
        <f>O15</f>
        <v>53250</v>
      </c>
      <c r="S15" s="38">
        <f>I15</f>
        <v>75000</v>
      </c>
      <c r="T15" s="38">
        <f>J15</f>
        <v>15000</v>
      </c>
      <c r="U15" s="31">
        <f>SUMIF(свод!B$14:B$25,'910.01'!B15,свод!T$14:T$25)</f>
        <v>23625</v>
      </c>
      <c r="V15" s="31">
        <f>SUMIF(свод!B$14:B$25,'910.01'!B15,свод!V$14:V$25)</f>
        <v>0</v>
      </c>
      <c r="W15" s="31">
        <f>SUMIF(свод!B$14:B$25,'910.01'!B15,свод!AB$14:AB$25)</f>
        <v>15000</v>
      </c>
      <c r="Y15" s="16"/>
    </row>
    <row r="16" spans="1:25" x14ac:dyDescent="0.2">
      <c r="A16" s="26">
        <v>2</v>
      </c>
      <c r="B16" s="26" t="s">
        <v>372</v>
      </c>
      <c r="C16" s="27"/>
      <c r="D16" s="28">
        <v>1</v>
      </c>
      <c r="E16" s="28"/>
      <c r="F16" s="29">
        <f>SUMIF(свод!B$14:B$25,'910.01'!B16,свод!AE$14:AE$25)</f>
        <v>1080000</v>
      </c>
      <c r="G16" s="30"/>
      <c r="H16" s="31">
        <f>SUMIF(свод!B$14:B$25,'910.01'!B16,свод!I$14:I$25)</f>
        <v>0</v>
      </c>
      <c r="I16" s="31">
        <f>SUMIF(свод!B$14:B$25,'910.01'!B16,свод!P$14:P$25)</f>
        <v>108000</v>
      </c>
      <c r="J16" s="31">
        <f>SUMIF(свод!B$14:B$25,'910.01'!B16,свод!AC$14:AC$25)</f>
        <v>21600</v>
      </c>
      <c r="K16" s="30"/>
      <c r="L16" s="31">
        <f>SUMIF(свод!B$14:B$25,'910.01'!B16,свод!E$14:E$25)+SUMIF(свод!B$14:B$25,'910.01'!B16,свод!G$14:G$25)</f>
        <v>255000</v>
      </c>
      <c r="M16" s="30"/>
      <c r="N16" s="31">
        <f>SUMIF(свод!B$14:B$25,'910.01'!B16,свод!H$14:H$25)</f>
        <v>0</v>
      </c>
      <c r="O16" s="31">
        <f>SUMIF(свод!B$14:B$25,'910.01'!B16,свод!K$14:K$25)</f>
        <v>69540</v>
      </c>
      <c r="P16" s="12"/>
      <c r="Q16" s="32">
        <f>F16-I16-J16-O16</f>
        <v>880860</v>
      </c>
      <c r="R16" s="38">
        <f t="shared" ref="R16:R26" si="0">O16</f>
        <v>69540</v>
      </c>
      <c r="S16" s="38">
        <f t="shared" ref="S16:S26" si="1">I16</f>
        <v>108000</v>
      </c>
      <c r="T16" s="38">
        <f t="shared" ref="T16:T26" si="2">J16</f>
        <v>21600</v>
      </c>
      <c r="U16" s="31">
        <f>SUMIF(свод!B$14:B$25,'910.01'!B16,свод!T$14:T$25)</f>
        <v>34020</v>
      </c>
      <c r="V16" s="31">
        <f>SUMIF(свод!B$14:B$25,'910.01'!B16,свод!V$14:V$25)</f>
        <v>0</v>
      </c>
      <c r="W16" s="31">
        <f>SUMIF(свод!B$14:B$25,'910.01'!B16,свод!AB$14:AB$25)</f>
        <v>21600</v>
      </c>
      <c r="Y16" s="16"/>
    </row>
    <row r="17" spans="1:25" x14ac:dyDescent="0.2">
      <c r="A17" s="26">
        <v>3</v>
      </c>
      <c r="B17" s="26" t="s">
        <v>370</v>
      </c>
      <c r="C17" s="27"/>
      <c r="D17" s="28">
        <v>2</v>
      </c>
      <c r="E17" s="28"/>
      <c r="F17" s="29">
        <f>SUMIF(свод!B$14:B$25,'910.01'!B17,свод!AE$14:AE$25)</f>
        <v>160000</v>
      </c>
      <c r="G17" s="30"/>
      <c r="H17" s="31">
        <f>SUMIF(свод!B$14:B$25,'910.01'!B17,свод!I$14:I$25)</f>
        <v>0</v>
      </c>
      <c r="I17" s="31">
        <f>SUMIF(свод!B$14:B$25,'910.01'!B17,свод!P$14:P$25)</f>
        <v>16000</v>
      </c>
      <c r="J17" s="31">
        <f>SUMIF(свод!B$14:B$25,'910.01'!B17,свод!AC$14:AC$25)</f>
        <v>3200</v>
      </c>
      <c r="K17" s="30"/>
      <c r="L17" s="31">
        <f>SUMIF(свод!B$14:B$25,'910.01'!B17,свод!E$14:E$25)+SUMIF(свод!B$14:B$25,'910.01'!B17,свод!G$14:G$25)</f>
        <v>0</v>
      </c>
      <c r="M17" s="30"/>
      <c r="N17" s="31">
        <f>SUMIF(свод!B$14:B$25,'910.01'!B17,свод!H$14:H$25)</f>
        <v>0</v>
      </c>
      <c r="O17" s="31">
        <f>SUMIF(свод!B$14:B$25,'910.01'!B17,свод!K$14:K$25)</f>
        <v>14080</v>
      </c>
      <c r="P17" s="12"/>
      <c r="Q17" s="32">
        <f t="shared" ref="Q17:Q26" si="3">F17-I17-J17-O17</f>
        <v>126720</v>
      </c>
      <c r="R17" s="38">
        <f t="shared" si="0"/>
        <v>14080</v>
      </c>
      <c r="S17" s="38">
        <f t="shared" si="1"/>
        <v>16000</v>
      </c>
      <c r="T17" s="38">
        <f t="shared" si="2"/>
        <v>3200</v>
      </c>
      <c r="U17" s="31">
        <f>SUMIF(свод!B$14:B$25,'910.01'!B17,свод!T$14:T$25)</f>
        <v>0</v>
      </c>
      <c r="V17" s="31">
        <f>SUMIF(свод!B$14:B$25,'910.01'!B17,свод!V$14:V$25)</f>
        <v>0</v>
      </c>
      <c r="W17" s="31">
        <f>SUMIF(свод!B$14:B$25,'910.01'!B17,свод!AB$14:AB$25)</f>
        <v>0</v>
      </c>
      <c r="Y17" s="16"/>
    </row>
    <row r="18" spans="1:25" x14ac:dyDescent="0.2">
      <c r="A18" s="26">
        <v>4</v>
      </c>
      <c r="B18" s="26"/>
      <c r="C18" s="27"/>
      <c r="D18" s="28"/>
      <c r="E18" s="28"/>
      <c r="F18" s="29">
        <f>SUMIF(свод!B$14:B$25,'910.01'!B18,свод!AE$14:AE$25)</f>
        <v>0</v>
      </c>
      <c r="G18" s="30"/>
      <c r="H18" s="31">
        <f>SUMIF(свод!B$14:B$25,'910.01'!B18,свод!I$14:I$25)</f>
        <v>0</v>
      </c>
      <c r="I18" s="31">
        <f>SUMIF(свод!B$14:B$25,'910.01'!B18,свод!P$14:P$25)</f>
        <v>0</v>
      </c>
      <c r="J18" s="31">
        <f>SUMIF(свод!B$14:B$25,'910.01'!B18,свод!AC$14:AC$25)</f>
        <v>0</v>
      </c>
      <c r="K18" s="30"/>
      <c r="L18" s="31">
        <f>SUMIF(свод!B$14:B$25,'910.01'!B18,свод!E$14:E$25)+SUMIF(свод!B$14:B$25,'910.01'!B18,свод!G$14:G$25)</f>
        <v>0</v>
      </c>
      <c r="M18" s="30"/>
      <c r="N18" s="31">
        <f>SUMIF(свод!B$14:B$25,'910.01'!B18,свод!H$14:H$25)</f>
        <v>0</v>
      </c>
      <c r="O18" s="31">
        <f>SUMIF(свод!B$14:B$25,'910.01'!B18,свод!K$14:K$25)</f>
        <v>0</v>
      </c>
      <c r="P18" s="12"/>
      <c r="Q18" s="32">
        <f t="shared" si="3"/>
        <v>0</v>
      </c>
      <c r="R18" s="38">
        <f t="shared" si="0"/>
        <v>0</v>
      </c>
      <c r="S18" s="38">
        <f t="shared" si="1"/>
        <v>0</v>
      </c>
      <c r="T18" s="38">
        <f t="shared" si="2"/>
        <v>0</v>
      </c>
      <c r="U18" s="31">
        <f>SUMIF(свод!B$14:B$25,'910.01'!B18,свод!T$14:T$25)</f>
        <v>0</v>
      </c>
      <c r="V18" s="31">
        <f>SUMIF(свод!B$14:B$25,'910.01'!B18,свод!V$14:V$25)</f>
        <v>0</v>
      </c>
      <c r="W18" s="31">
        <f>SUMIF(свод!B$14:B$25,'910.01'!B18,свод!AB$14:AB$25)</f>
        <v>0</v>
      </c>
      <c r="Y18" s="16"/>
    </row>
    <row r="19" spans="1:25" x14ac:dyDescent="0.2">
      <c r="A19" s="26">
        <v>5</v>
      </c>
      <c r="B19" s="26"/>
      <c r="C19" s="27"/>
      <c r="D19" s="28"/>
      <c r="E19" s="28"/>
      <c r="F19" s="29">
        <f>SUMIF(свод!B$14:B$25,'910.01'!B19,свод!AE$14:AE$25)</f>
        <v>0</v>
      </c>
      <c r="G19" s="30"/>
      <c r="H19" s="31">
        <f>SUMIF(свод!B$14:B$25,'910.01'!B19,свод!I$14:I$25)</f>
        <v>0</v>
      </c>
      <c r="I19" s="31">
        <f>SUMIF(свод!B$14:B$25,'910.01'!B19,свод!P$14:P$25)</f>
        <v>0</v>
      </c>
      <c r="J19" s="31">
        <f>SUMIF(свод!B$14:B$25,'910.01'!B19,свод!AC$14:AC$25)</f>
        <v>0</v>
      </c>
      <c r="K19" s="30"/>
      <c r="L19" s="31">
        <f>SUMIF(свод!B$14:B$25,'910.01'!B19,свод!E$14:E$25)+SUMIF(свод!B$14:B$25,'910.01'!B19,свод!G$14:G$25)</f>
        <v>0</v>
      </c>
      <c r="M19" s="30"/>
      <c r="N19" s="31">
        <f>SUMIF(свод!B$14:B$25,'910.01'!B19,свод!H$14:H$25)</f>
        <v>0</v>
      </c>
      <c r="O19" s="31">
        <f>SUMIF(свод!B$14:B$25,'910.01'!B19,свод!K$14:K$25)</f>
        <v>0</v>
      </c>
      <c r="P19" s="12"/>
      <c r="Q19" s="32">
        <f t="shared" si="3"/>
        <v>0</v>
      </c>
      <c r="R19" s="38">
        <f t="shared" si="0"/>
        <v>0</v>
      </c>
      <c r="S19" s="38">
        <f t="shared" si="1"/>
        <v>0</v>
      </c>
      <c r="T19" s="38">
        <f t="shared" si="2"/>
        <v>0</v>
      </c>
      <c r="U19" s="31">
        <f>SUMIF(свод!B$14:B$25,'910.01'!B19,свод!T$14:T$25)</f>
        <v>0</v>
      </c>
      <c r="V19" s="31">
        <f>SUMIF(свод!B$14:B$25,'910.01'!B19,свод!V$14:V$25)</f>
        <v>0</v>
      </c>
      <c r="W19" s="31">
        <f>SUMIF(свод!B$14:B$25,'910.01'!B19,свод!AB$14:AB$25)</f>
        <v>0</v>
      </c>
      <c r="Y19" s="16"/>
    </row>
    <row r="20" spans="1:25" x14ac:dyDescent="0.2">
      <c r="A20" s="26">
        <v>6</v>
      </c>
      <c r="B20" s="26"/>
      <c r="C20" s="27"/>
      <c r="D20" s="28"/>
      <c r="E20" s="28"/>
      <c r="F20" s="29">
        <f>SUMIF(свод!B$14:B$25,'910.01'!B20,свод!AE$14:AE$25)</f>
        <v>0</v>
      </c>
      <c r="G20" s="30"/>
      <c r="H20" s="31">
        <f>SUMIF(свод!B$14:B$25,'910.01'!B20,свод!I$14:I$25)</f>
        <v>0</v>
      </c>
      <c r="I20" s="31">
        <f>SUMIF(свод!B$14:B$25,'910.01'!B20,свод!P$14:P$25)</f>
        <v>0</v>
      </c>
      <c r="J20" s="31">
        <f>SUMIF(свод!B$14:B$25,'910.01'!B20,свод!AC$14:AC$25)</f>
        <v>0</v>
      </c>
      <c r="K20" s="30"/>
      <c r="L20" s="31">
        <f>SUMIF(свод!B$14:B$25,'910.01'!B20,свод!E$14:E$25)+SUMIF(свод!B$14:B$25,'910.01'!B20,свод!G$14:G$25)</f>
        <v>0</v>
      </c>
      <c r="M20" s="30"/>
      <c r="N20" s="31">
        <f>SUMIF(свод!B$14:B$25,'910.01'!B20,свод!H$14:H$25)</f>
        <v>0</v>
      </c>
      <c r="O20" s="31">
        <f>SUMIF(свод!B$14:B$25,'910.01'!B20,свод!K$14:K$25)</f>
        <v>0</v>
      </c>
      <c r="P20" s="12"/>
      <c r="Q20" s="32">
        <f t="shared" si="3"/>
        <v>0</v>
      </c>
      <c r="R20" s="38">
        <f t="shared" si="0"/>
        <v>0</v>
      </c>
      <c r="S20" s="38">
        <f t="shared" si="1"/>
        <v>0</v>
      </c>
      <c r="T20" s="38">
        <f t="shared" si="2"/>
        <v>0</v>
      </c>
      <c r="U20" s="31">
        <f>SUMIF(свод!B$14:B$25,'910.01'!B20,свод!T$14:T$25)</f>
        <v>0</v>
      </c>
      <c r="V20" s="31">
        <f>SUMIF(свод!B$14:B$25,'910.01'!B20,свод!V$14:V$25)</f>
        <v>0</v>
      </c>
      <c r="W20" s="31">
        <f>SUMIF(свод!B$14:B$25,'910.01'!B20,свод!AB$14:AB$25)</f>
        <v>0</v>
      </c>
      <c r="Y20" s="16"/>
    </row>
    <row r="21" spans="1:25" x14ac:dyDescent="0.2">
      <c r="A21" s="26">
        <v>7</v>
      </c>
      <c r="B21" s="26"/>
      <c r="C21" s="27"/>
      <c r="D21" s="28"/>
      <c r="E21" s="28"/>
      <c r="F21" s="29">
        <f>SUMIF(свод!B$14:B$25,'910.01'!B21,свод!AE$14:AE$25)</f>
        <v>0</v>
      </c>
      <c r="G21" s="30"/>
      <c r="H21" s="31">
        <f>SUMIF(свод!B$14:B$25,'910.01'!B21,свод!I$14:I$25)</f>
        <v>0</v>
      </c>
      <c r="I21" s="31">
        <f>SUMIF(свод!B$14:B$25,'910.01'!B21,свод!P$14:P$25)</f>
        <v>0</v>
      </c>
      <c r="J21" s="31">
        <f>SUMIF(свод!B$14:B$25,'910.01'!B21,свод!AC$14:AC$25)</f>
        <v>0</v>
      </c>
      <c r="K21" s="30"/>
      <c r="L21" s="31">
        <f>SUMIF(свод!B$14:B$25,'910.01'!B21,свод!E$14:E$25)+SUMIF(свод!B$14:B$25,'910.01'!B21,свод!G$14:G$25)</f>
        <v>0</v>
      </c>
      <c r="M21" s="30"/>
      <c r="N21" s="31">
        <f>SUMIF(свод!B$14:B$25,'910.01'!B21,свод!H$14:H$25)</f>
        <v>0</v>
      </c>
      <c r="O21" s="31">
        <f>SUMIF(свод!B$14:B$25,'910.01'!B21,свод!K$14:K$25)</f>
        <v>0</v>
      </c>
      <c r="P21" s="12"/>
      <c r="Q21" s="32">
        <f t="shared" si="3"/>
        <v>0</v>
      </c>
      <c r="R21" s="38">
        <f t="shared" si="0"/>
        <v>0</v>
      </c>
      <c r="S21" s="38">
        <f t="shared" si="1"/>
        <v>0</v>
      </c>
      <c r="T21" s="38">
        <f t="shared" si="2"/>
        <v>0</v>
      </c>
      <c r="U21" s="31">
        <f>SUMIF(свод!B$14:B$25,'910.01'!B21,свод!T$14:T$25)</f>
        <v>0</v>
      </c>
      <c r="V21" s="31">
        <f>SUMIF(свод!B$14:B$25,'910.01'!B21,свод!V$14:V$25)</f>
        <v>0</v>
      </c>
      <c r="W21" s="31">
        <f>SUMIF(свод!B$14:B$25,'910.01'!B21,свод!AB$14:AB$25)</f>
        <v>0</v>
      </c>
      <c r="Y21" s="16"/>
    </row>
    <row r="22" spans="1:25" x14ac:dyDescent="0.2">
      <c r="A22" s="26">
        <v>8</v>
      </c>
      <c r="B22" s="26"/>
      <c r="C22" s="27"/>
      <c r="D22" s="28"/>
      <c r="E22" s="28"/>
      <c r="F22" s="29">
        <f>SUMIF(свод!B$14:B$25,'910.01'!B22,свод!AE$14:AE$25)</f>
        <v>0</v>
      </c>
      <c r="G22" s="30"/>
      <c r="H22" s="31">
        <f>SUMIF(свод!B$14:B$25,'910.01'!B22,свод!I$14:I$25)</f>
        <v>0</v>
      </c>
      <c r="I22" s="31">
        <f>SUMIF(свод!B$14:B$25,'910.01'!B22,свод!P$14:P$25)</f>
        <v>0</v>
      </c>
      <c r="J22" s="31">
        <f>SUMIF(свод!B$14:B$25,'910.01'!B22,свод!AC$14:AC$25)</f>
        <v>0</v>
      </c>
      <c r="K22" s="30"/>
      <c r="L22" s="31">
        <f>SUMIF(свод!B$14:B$25,'910.01'!B22,свод!E$14:E$25)+SUMIF(свод!B$14:B$25,'910.01'!B22,свод!G$14:G$25)</f>
        <v>0</v>
      </c>
      <c r="M22" s="30"/>
      <c r="N22" s="31">
        <f>SUMIF(свод!B$14:B$25,'910.01'!B22,свод!H$14:H$25)</f>
        <v>0</v>
      </c>
      <c r="O22" s="31">
        <f>SUMIF(свод!B$14:B$25,'910.01'!B22,свод!K$14:K$25)</f>
        <v>0</v>
      </c>
      <c r="P22" s="12"/>
      <c r="Q22" s="32">
        <f t="shared" si="3"/>
        <v>0</v>
      </c>
      <c r="R22" s="38">
        <f t="shared" si="0"/>
        <v>0</v>
      </c>
      <c r="S22" s="38">
        <f t="shared" si="1"/>
        <v>0</v>
      </c>
      <c r="T22" s="38">
        <f t="shared" si="2"/>
        <v>0</v>
      </c>
      <c r="U22" s="31">
        <f>SUMIF(свод!B$14:B$25,'910.01'!B22,свод!T$14:T$25)</f>
        <v>0</v>
      </c>
      <c r="V22" s="31">
        <f>SUMIF(свод!B$14:B$25,'910.01'!B22,свод!V$14:V$25)</f>
        <v>0</v>
      </c>
      <c r="W22" s="31">
        <f>SUMIF(свод!B$14:B$25,'910.01'!B22,свод!AB$14:AB$25)</f>
        <v>0</v>
      </c>
      <c r="Y22" s="16"/>
    </row>
    <row r="23" spans="1:25" x14ac:dyDescent="0.2">
      <c r="A23" s="26">
        <v>9</v>
      </c>
      <c r="B23" s="26"/>
      <c r="C23" s="27"/>
      <c r="D23" s="28"/>
      <c r="E23" s="28"/>
      <c r="F23" s="29">
        <f>SUMIF(свод!B$14:B$25,'910.01'!B23,свод!AE$14:AE$25)</f>
        <v>0</v>
      </c>
      <c r="G23" s="30"/>
      <c r="H23" s="31">
        <f>SUMIF(свод!B$14:B$25,'910.01'!B23,свод!I$14:I$25)</f>
        <v>0</v>
      </c>
      <c r="I23" s="31">
        <f>SUMIF(свод!B$14:B$25,'910.01'!B23,свод!P$14:P$25)</f>
        <v>0</v>
      </c>
      <c r="J23" s="31">
        <f>SUMIF(свод!B$14:B$25,'910.01'!B23,свод!AC$14:AC$25)</f>
        <v>0</v>
      </c>
      <c r="K23" s="30"/>
      <c r="L23" s="31">
        <f>SUMIF(свод!B$14:B$25,'910.01'!B23,свод!E$14:E$25)+SUMIF(свод!B$14:B$25,'910.01'!B23,свод!G$14:G$25)</f>
        <v>0</v>
      </c>
      <c r="M23" s="30"/>
      <c r="N23" s="31">
        <f>SUMIF(свод!B$14:B$25,'910.01'!B23,свод!H$14:H$25)</f>
        <v>0</v>
      </c>
      <c r="O23" s="31">
        <f>SUMIF(свод!B$14:B$25,'910.01'!B23,свод!K$14:K$25)</f>
        <v>0</v>
      </c>
      <c r="P23" s="12"/>
      <c r="Q23" s="32">
        <f t="shared" si="3"/>
        <v>0</v>
      </c>
      <c r="R23" s="38">
        <f t="shared" si="0"/>
        <v>0</v>
      </c>
      <c r="S23" s="38">
        <f t="shared" si="1"/>
        <v>0</v>
      </c>
      <c r="T23" s="38">
        <f t="shared" si="2"/>
        <v>0</v>
      </c>
      <c r="U23" s="31">
        <f>SUMIF(свод!B$14:B$25,'910.01'!B23,свод!T$14:T$25)</f>
        <v>0</v>
      </c>
      <c r="V23" s="31">
        <f>SUMIF(свод!B$14:B$25,'910.01'!B23,свод!V$14:V$25)</f>
        <v>0</v>
      </c>
      <c r="W23" s="31">
        <f>SUMIF(свод!B$14:B$25,'910.01'!B23,свод!AB$14:AB$25)</f>
        <v>0</v>
      </c>
      <c r="Y23" s="16"/>
    </row>
    <row r="24" spans="1:25" x14ac:dyDescent="0.2">
      <c r="A24" s="26">
        <v>10</v>
      </c>
      <c r="B24" s="26"/>
      <c r="C24" s="27"/>
      <c r="D24" s="28"/>
      <c r="E24" s="28"/>
      <c r="F24" s="29">
        <f>SUMIF(свод!B$14:B$25,'910.01'!B24,свод!AE$14:AE$25)</f>
        <v>0</v>
      </c>
      <c r="G24" s="30"/>
      <c r="H24" s="31">
        <f>SUMIF(свод!B$14:B$25,'910.01'!B24,свод!I$14:I$25)</f>
        <v>0</v>
      </c>
      <c r="I24" s="31">
        <f>SUMIF(свод!B$14:B$25,'910.01'!B24,свод!P$14:P$25)</f>
        <v>0</v>
      </c>
      <c r="J24" s="31">
        <f>SUMIF(свод!B$14:B$25,'910.01'!B24,свод!AC$14:AC$25)</f>
        <v>0</v>
      </c>
      <c r="K24" s="30"/>
      <c r="L24" s="31">
        <f>SUMIF(свод!B$14:B$25,'910.01'!B24,свод!E$14:E$25)+SUMIF(свод!B$14:B$25,'910.01'!B24,свод!G$14:G$25)</f>
        <v>0</v>
      </c>
      <c r="M24" s="30"/>
      <c r="N24" s="31">
        <f>SUMIF(свод!B$14:B$25,'910.01'!B24,свод!H$14:H$25)</f>
        <v>0</v>
      </c>
      <c r="O24" s="31">
        <f>SUMIF(свод!B$14:B$25,'910.01'!B24,свод!K$14:K$25)</f>
        <v>0</v>
      </c>
      <c r="P24" s="12"/>
      <c r="Q24" s="32">
        <f t="shared" si="3"/>
        <v>0</v>
      </c>
      <c r="R24" s="38">
        <f t="shared" si="0"/>
        <v>0</v>
      </c>
      <c r="S24" s="38">
        <f t="shared" si="1"/>
        <v>0</v>
      </c>
      <c r="T24" s="38">
        <f t="shared" si="2"/>
        <v>0</v>
      </c>
      <c r="U24" s="31">
        <f>SUMIF(свод!B$14:B$25,'910.01'!B24,свод!T$14:T$25)</f>
        <v>0</v>
      </c>
      <c r="V24" s="31">
        <f>SUMIF(свод!B$14:B$25,'910.01'!B24,свод!V$14:V$25)</f>
        <v>0</v>
      </c>
      <c r="W24" s="31">
        <f>SUMIF(свод!B$14:B$25,'910.01'!B24,свод!AB$14:AB$25)</f>
        <v>0</v>
      </c>
      <c r="Y24" s="16"/>
    </row>
    <row r="25" spans="1:25" x14ac:dyDescent="0.2">
      <c r="A25" s="26">
        <v>11</v>
      </c>
      <c r="B25" s="26"/>
      <c r="C25" s="27"/>
      <c r="D25" s="28"/>
      <c r="E25" s="28"/>
      <c r="F25" s="29">
        <f>SUMIF(свод!B$14:B$25,'910.01'!B25,свод!AE$14:AE$25)</f>
        <v>0</v>
      </c>
      <c r="G25" s="30"/>
      <c r="H25" s="31">
        <f>SUMIF(свод!B$14:B$25,'910.01'!B25,свод!I$14:I$25)</f>
        <v>0</v>
      </c>
      <c r="I25" s="31">
        <f>SUMIF(свод!B$14:B$25,'910.01'!B25,свод!P$14:P$25)</f>
        <v>0</v>
      </c>
      <c r="J25" s="31">
        <f>SUMIF(свод!B$14:B$25,'910.01'!B25,свод!AC$14:AC$25)</f>
        <v>0</v>
      </c>
      <c r="K25" s="30"/>
      <c r="L25" s="31">
        <f>SUMIF(свод!B$14:B$25,'910.01'!B25,свод!E$14:E$25)+SUMIF(свод!B$14:B$25,'910.01'!B25,свод!G$14:G$25)</f>
        <v>0</v>
      </c>
      <c r="M25" s="30"/>
      <c r="N25" s="31">
        <f>SUMIF(свод!B$14:B$25,'910.01'!B25,свод!H$14:H$25)</f>
        <v>0</v>
      </c>
      <c r="O25" s="31">
        <f>SUMIF(свод!B$14:B$25,'910.01'!B25,свод!K$14:K$25)</f>
        <v>0</v>
      </c>
      <c r="P25" s="12"/>
      <c r="Q25" s="32">
        <f t="shared" si="3"/>
        <v>0</v>
      </c>
      <c r="R25" s="38">
        <f t="shared" si="0"/>
        <v>0</v>
      </c>
      <c r="S25" s="38">
        <f t="shared" si="1"/>
        <v>0</v>
      </c>
      <c r="T25" s="38">
        <f t="shared" si="2"/>
        <v>0</v>
      </c>
      <c r="U25" s="31">
        <f>SUMIF(свод!B$14:B$25,'910.01'!B25,свод!T$14:T$25)</f>
        <v>0</v>
      </c>
      <c r="V25" s="31">
        <f>SUMIF(свод!B$14:B$25,'910.01'!B25,свод!V$14:V$25)</f>
        <v>0</v>
      </c>
      <c r="W25" s="31">
        <f>SUMIF(свод!B$14:B$25,'910.01'!B25,свод!AB$14:AB$25)</f>
        <v>0</v>
      </c>
      <c r="Y25" s="16"/>
    </row>
    <row r="26" spans="1:25" x14ac:dyDescent="0.2">
      <c r="A26" s="26">
        <v>12</v>
      </c>
      <c r="B26" s="26"/>
      <c r="C26" s="27"/>
      <c r="D26" s="28"/>
      <c r="E26" s="28"/>
      <c r="F26" s="29">
        <f>SUMIF(свод!B$14:B$25,'910.01'!B26,свод!AE$14:AE$25)</f>
        <v>0</v>
      </c>
      <c r="G26" s="30"/>
      <c r="H26" s="31">
        <f>SUMIF(свод!B$14:B$25,'910.01'!B26,свод!I$14:I$25)</f>
        <v>0</v>
      </c>
      <c r="I26" s="31">
        <f>SUMIF(свод!B$14:B$25,'910.01'!B26,свод!P$14:P$25)</f>
        <v>0</v>
      </c>
      <c r="J26" s="31">
        <f>SUMIF(свод!B$14:B$25,'910.01'!B26,свод!AC$14:AC$25)</f>
        <v>0</v>
      </c>
      <c r="K26" s="30"/>
      <c r="L26" s="31">
        <f>SUMIF(свод!B$14:B$25,'910.01'!B26,свод!E$14:E$25)+SUMIF(свод!B$14:B$25,'910.01'!B26,свод!G$14:G$25)</f>
        <v>0</v>
      </c>
      <c r="M26" s="30"/>
      <c r="N26" s="31">
        <f>SUMIF(свод!B$14:B$25,'910.01'!B26,свод!H$14:H$25)</f>
        <v>0</v>
      </c>
      <c r="O26" s="31">
        <f>SUMIF(свод!B$14:B$25,'910.01'!B26,свод!K$14:K$25)</f>
        <v>0</v>
      </c>
      <c r="P26" s="12"/>
      <c r="Q26" s="32">
        <f t="shared" si="3"/>
        <v>0</v>
      </c>
      <c r="R26" s="38">
        <f t="shared" si="0"/>
        <v>0</v>
      </c>
      <c r="S26" s="38">
        <f t="shared" si="1"/>
        <v>0</v>
      </c>
      <c r="T26" s="38">
        <f t="shared" si="2"/>
        <v>0</v>
      </c>
      <c r="U26" s="31">
        <f>SUMIF(свод!B$14:B$25,'910.01'!B26,свод!T$14:T$25)</f>
        <v>0</v>
      </c>
      <c r="V26" s="31">
        <f>SUMIF(свод!B$14:B$25,'910.01'!B26,свод!V$14:V$25)</f>
        <v>0</v>
      </c>
      <c r="W26" s="31">
        <f>SUMIF(свод!B$14:B$25,'910.01'!B26,свод!AB$14:AB$25)</f>
        <v>0</v>
      </c>
      <c r="Y26" s="16"/>
    </row>
    <row r="27" spans="1:25" x14ac:dyDescent="0.2">
      <c r="A27" s="402" t="s">
        <v>72</v>
      </c>
      <c r="B27" s="403"/>
      <c r="C27" s="15"/>
      <c r="D27" s="15"/>
      <c r="E27" s="15"/>
      <c r="F27" s="33">
        <f>SUM(F15:F26)</f>
        <v>1990000</v>
      </c>
      <c r="G27" s="34"/>
      <c r="H27" s="35">
        <f t="shared" ref="H27:W27" si="4">SUM(H15:H26)</f>
        <v>0</v>
      </c>
      <c r="I27" s="33">
        <f>SUM(I15:I26)</f>
        <v>199000</v>
      </c>
      <c r="J27" s="33">
        <f t="shared" si="4"/>
        <v>39800</v>
      </c>
      <c r="K27" s="33"/>
      <c r="L27" s="33">
        <f t="shared" si="4"/>
        <v>382500</v>
      </c>
      <c r="M27" s="33"/>
      <c r="N27" s="33">
        <f t="shared" si="4"/>
        <v>0</v>
      </c>
      <c r="O27" s="33">
        <f>SUM(O15:O26)</f>
        <v>136870</v>
      </c>
      <c r="P27" s="33">
        <f t="shared" si="4"/>
        <v>0</v>
      </c>
      <c r="Q27" s="33">
        <f t="shared" si="4"/>
        <v>1614330</v>
      </c>
      <c r="R27" s="33">
        <f t="shared" si="4"/>
        <v>136870</v>
      </c>
      <c r="S27" s="33">
        <f t="shared" si="4"/>
        <v>199000</v>
      </c>
      <c r="T27" s="33">
        <f t="shared" si="4"/>
        <v>39800</v>
      </c>
      <c r="U27" s="33">
        <f t="shared" si="4"/>
        <v>57645</v>
      </c>
      <c r="V27" s="33">
        <f t="shared" si="4"/>
        <v>0</v>
      </c>
      <c r="W27" s="33">
        <f t="shared" si="4"/>
        <v>36600</v>
      </c>
      <c r="Y27" s="16"/>
    </row>
    <row r="28" spans="1:25" x14ac:dyDescent="0.2">
      <c r="A28" s="22"/>
      <c r="B28" s="22"/>
      <c r="C28" s="22"/>
      <c r="D28" s="22"/>
      <c r="E28" s="22"/>
      <c r="F28" s="22"/>
    </row>
    <row r="29" spans="1:25" x14ac:dyDescent="0.2">
      <c r="A29" s="36" t="s">
        <v>62</v>
      </c>
    </row>
    <row r="31" spans="1:25" x14ac:dyDescent="0.2">
      <c r="A31" s="22"/>
      <c r="B31" s="22"/>
      <c r="C31" s="22"/>
      <c r="D31" s="22"/>
      <c r="E31" s="22"/>
      <c r="F31" s="22"/>
    </row>
    <row r="32" spans="1:25" x14ac:dyDescent="0.2">
      <c r="A32" s="36" t="s">
        <v>63</v>
      </c>
    </row>
    <row r="34" spans="1:13" x14ac:dyDescent="0.2">
      <c r="A34" s="22"/>
      <c r="B34" s="22"/>
      <c r="C34" s="22"/>
      <c r="D34" s="22"/>
      <c r="E34" s="22"/>
      <c r="F34" s="22"/>
    </row>
    <row r="35" spans="1:13" x14ac:dyDescent="0.2">
      <c r="A35" s="36" t="s">
        <v>73</v>
      </c>
    </row>
    <row r="37" spans="1:13" x14ac:dyDescent="0.2">
      <c r="A37" s="22"/>
      <c r="B37" s="22"/>
      <c r="C37" s="22"/>
      <c r="D37" s="25"/>
      <c r="E37" s="25"/>
    </row>
    <row r="38" spans="1:13" x14ac:dyDescent="0.2">
      <c r="A38" s="36" t="s">
        <v>64</v>
      </c>
    </row>
    <row r="39" spans="1:13" x14ac:dyDescent="0.2">
      <c r="A39" s="25"/>
      <c r="B39" s="25"/>
      <c r="C39" s="25"/>
      <c r="D39" s="25"/>
      <c r="E39" s="25"/>
      <c r="F39" s="25"/>
    </row>
    <row r="40" spans="1:13" x14ac:dyDescent="0.2">
      <c r="A40" s="405" t="s">
        <v>220</v>
      </c>
      <c r="B40" s="405"/>
      <c r="C40" s="405"/>
      <c r="D40" s="405"/>
      <c r="E40" s="405"/>
      <c r="F40" s="405"/>
      <c r="G40" s="405"/>
      <c r="H40" s="405"/>
      <c r="I40" s="405"/>
      <c r="J40" s="405"/>
      <c r="K40" s="405"/>
      <c r="L40" s="405"/>
      <c r="M40" s="405"/>
    </row>
    <row r="41" spans="1:13" ht="29.45" customHeight="1" x14ac:dyDescent="0.2">
      <c r="A41" s="406" t="s">
        <v>267</v>
      </c>
      <c r="B41" s="406"/>
      <c r="C41" s="406"/>
      <c r="D41" s="406"/>
      <c r="E41" s="406"/>
      <c r="F41" s="406"/>
      <c r="G41" s="406"/>
      <c r="H41" s="406"/>
      <c r="I41" s="406"/>
      <c r="J41" s="406"/>
      <c r="K41" s="406"/>
      <c r="L41" s="406"/>
      <c r="M41" s="406"/>
    </row>
    <row r="42" spans="1:13" ht="24" customHeight="1" x14ac:dyDescent="0.2">
      <c r="A42" s="406" t="s">
        <v>268</v>
      </c>
      <c r="B42" s="406"/>
      <c r="C42" s="406"/>
      <c r="D42" s="406"/>
      <c r="E42" s="406"/>
      <c r="F42" s="406"/>
      <c r="G42" s="406"/>
      <c r="H42" s="406"/>
      <c r="I42" s="406"/>
      <c r="J42" s="406"/>
      <c r="K42" s="406"/>
      <c r="L42" s="406"/>
      <c r="M42" s="406"/>
    </row>
    <row r="43" spans="1:13" ht="15.6" customHeight="1" x14ac:dyDescent="0.2">
      <c r="A43" s="405" t="s">
        <v>269</v>
      </c>
      <c r="B43" s="405"/>
      <c r="C43" s="405"/>
      <c r="D43" s="405"/>
      <c r="E43" s="405"/>
      <c r="F43" s="405"/>
      <c r="G43" s="405"/>
      <c r="H43" s="405"/>
      <c r="I43" s="405"/>
      <c r="J43" s="405"/>
      <c r="K43" s="405"/>
      <c r="L43" s="405"/>
      <c r="M43" s="405"/>
    </row>
    <row r="44" spans="1:13" ht="15.6" customHeight="1" x14ac:dyDescent="0.2">
      <c r="A44" s="405" t="s">
        <v>270</v>
      </c>
      <c r="B44" s="405"/>
      <c r="C44" s="405"/>
      <c r="D44" s="405"/>
      <c r="E44" s="405"/>
      <c r="F44" s="405"/>
      <c r="G44" s="405"/>
      <c r="H44" s="405"/>
      <c r="I44" s="405"/>
      <c r="J44" s="405"/>
      <c r="K44" s="405"/>
      <c r="L44" s="405"/>
      <c r="M44" s="405"/>
    </row>
    <row r="45" spans="1:13" ht="15.6" customHeight="1" x14ac:dyDescent="0.2">
      <c r="A45" s="405" t="s">
        <v>271</v>
      </c>
      <c r="B45" s="405"/>
      <c r="C45" s="405"/>
      <c r="D45" s="405"/>
      <c r="E45" s="405"/>
      <c r="F45" s="405"/>
      <c r="G45" s="405"/>
      <c r="H45" s="405"/>
      <c r="I45" s="405"/>
      <c r="J45" s="405"/>
      <c r="K45" s="405"/>
      <c r="L45" s="405"/>
      <c r="M45" s="405"/>
    </row>
    <row r="46" spans="1:13" ht="15.6" customHeight="1" x14ac:dyDescent="0.2">
      <c r="A46" s="405" t="s">
        <v>272</v>
      </c>
      <c r="B46" s="405"/>
      <c r="C46" s="405"/>
      <c r="D46" s="405"/>
      <c r="E46" s="405"/>
      <c r="F46" s="405"/>
      <c r="G46" s="405"/>
      <c r="H46" s="405"/>
      <c r="I46" s="405"/>
      <c r="J46" s="405"/>
      <c r="K46" s="405"/>
      <c r="L46" s="405"/>
      <c r="M46" s="405"/>
    </row>
    <row r="47" spans="1:13" ht="12" customHeight="1" x14ac:dyDescent="0.2">
      <c r="A47" s="37"/>
      <c r="B47" s="37"/>
      <c r="C47" s="37"/>
      <c r="D47" s="37"/>
      <c r="E47" s="37"/>
      <c r="F47" s="37"/>
      <c r="G47" s="37"/>
      <c r="H47" s="37"/>
      <c r="I47" s="37"/>
      <c r="J47" s="37"/>
      <c r="K47" s="37"/>
      <c r="L47" s="37"/>
      <c r="M47" s="37"/>
    </row>
    <row r="48" spans="1:13" ht="12" customHeight="1" x14ac:dyDescent="0.2">
      <c r="A48" s="405" t="s">
        <v>221</v>
      </c>
      <c r="B48" s="405"/>
      <c r="C48" s="405"/>
      <c r="D48" s="405"/>
      <c r="E48" s="405"/>
      <c r="F48" s="405"/>
      <c r="G48" s="405"/>
      <c r="H48" s="405"/>
      <c r="I48" s="405"/>
      <c r="J48" s="405"/>
      <c r="K48" s="405"/>
      <c r="L48" s="405"/>
      <c r="M48" s="405"/>
    </row>
    <row r="49" spans="1:13" ht="15.6" customHeight="1" x14ac:dyDescent="0.2">
      <c r="A49" s="405" t="s">
        <v>273</v>
      </c>
      <c r="B49" s="405"/>
      <c r="C49" s="405"/>
      <c r="D49" s="405"/>
      <c r="E49" s="405"/>
      <c r="F49" s="405"/>
      <c r="G49" s="405"/>
      <c r="H49" s="405"/>
      <c r="I49" s="405"/>
      <c r="J49" s="405"/>
      <c r="K49" s="405"/>
      <c r="L49" s="405"/>
      <c r="M49" s="405"/>
    </row>
    <row r="50" spans="1:13" ht="15.6" customHeight="1" x14ac:dyDescent="0.2">
      <c r="A50" s="405" t="s">
        <v>274</v>
      </c>
      <c r="B50" s="405"/>
      <c r="C50" s="405"/>
      <c r="D50" s="405"/>
      <c r="E50" s="405"/>
      <c r="F50" s="405"/>
      <c r="G50" s="405"/>
      <c r="H50" s="405"/>
      <c r="I50" s="405"/>
      <c r="J50" s="405"/>
      <c r="K50" s="405"/>
      <c r="L50" s="405"/>
      <c r="M50" s="405"/>
    </row>
    <row r="51" spans="1:13" ht="15.6" customHeight="1" x14ac:dyDescent="0.2">
      <c r="A51" s="405" t="s">
        <v>275</v>
      </c>
      <c r="B51" s="405"/>
      <c r="C51" s="405"/>
      <c r="D51" s="405"/>
      <c r="E51" s="405"/>
      <c r="F51" s="405"/>
      <c r="G51" s="405"/>
      <c r="H51" s="405"/>
      <c r="I51" s="405"/>
      <c r="J51" s="405"/>
      <c r="K51" s="405"/>
      <c r="L51" s="405"/>
      <c r="M51" s="405"/>
    </row>
    <row r="52" spans="1:13" ht="27.6" customHeight="1" x14ac:dyDescent="0.2">
      <c r="A52" s="406" t="s">
        <v>276</v>
      </c>
      <c r="B52" s="406"/>
      <c r="C52" s="406"/>
      <c r="D52" s="406"/>
      <c r="E52" s="406"/>
      <c r="F52" s="406"/>
      <c r="G52" s="406"/>
      <c r="H52" s="406"/>
      <c r="I52" s="406"/>
      <c r="J52" s="406"/>
      <c r="K52" s="406"/>
      <c r="L52" s="406"/>
      <c r="M52" s="406"/>
    </row>
    <row r="53" spans="1:13" ht="28.9" customHeight="1" x14ac:dyDescent="0.2">
      <c r="A53" s="406" t="s">
        <v>277</v>
      </c>
      <c r="B53" s="406"/>
      <c r="C53" s="406"/>
      <c r="D53" s="406"/>
      <c r="E53" s="406"/>
      <c r="F53" s="406"/>
      <c r="G53" s="406"/>
      <c r="H53" s="406"/>
      <c r="I53" s="406"/>
      <c r="J53" s="406"/>
      <c r="K53" s="406"/>
      <c r="L53" s="406"/>
      <c r="M53" s="406"/>
    </row>
    <row r="54" spans="1:13" ht="15.6" customHeight="1" x14ac:dyDescent="0.2">
      <c r="A54" s="405" t="s">
        <v>278</v>
      </c>
      <c r="B54" s="405"/>
      <c r="C54" s="405"/>
      <c r="D54" s="405"/>
      <c r="E54" s="405"/>
      <c r="F54" s="405"/>
      <c r="G54" s="405"/>
      <c r="H54" s="405"/>
      <c r="I54" s="405"/>
      <c r="J54" s="405"/>
      <c r="K54" s="405"/>
      <c r="L54" s="405"/>
      <c r="M54" s="405"/>
    </row>
    <row r="55" spans="1:13" ht="15.6" customHeight="1" x14ac:dyDescent="0.2">
      <c r="A55" s="405" t="s">
        <v>279</v>
      </c>
      <c r="B55" s="405"/>
      <c r="C55" s="405"/>
      <c r="D55" s="405"/>
      <c r="E55" s="405"/>
      <c r="F55" s="405"/>
      <c r="G55" s="405"/>
      <c r="H55" s="405"/>
      <c r="I55" s="405"/>
      <c r="J55" s="405"/>
      <c r="K55" s="405"/>
      <c r="L55" s="405"/>
      <c r="M55" s="405"/>
    </row>
    <row r="56" spans="1:13" ht="15.6" customHeight="1" x14ac:dyDescent="0.2">
      <c r="A56" s="405" t="s">
        <v>280</v>
      </c>
      <c r="B56" s="405"/>
      <c r="C56" s="405"/>
      <c r="D56" s="405"/>
      <c r="E56" s="405"/>
      <c r="F56" s="405"/>
      <c r="G56" s="405"/>
      <c r="H56" s="405"/>
      <c r="I56" s="405"/>
      <c r="J56" s="405"/>
      <c r="K56" s="405"/>
      <c r="L56" s="405"/>
      <c r="M56" s="405"/>
    </row>
    <row r="57" spans="1:13" ht="31.15" customHeight="1" x14ac:dyDescent="0.2">
      <c r="A57" s="406" t="s">
        <v>281</v>
      </c>
      <c r="B57" s="406"/>
      <c r="C57" s="406"/>
      <c r="D57" s="406"/>
      <c r="E57" s="406"/>
      <c r="F57" s="406"/>
      <c r="G57" s="406"/>
      <c r="H57" s="406"/>
      <c r="I57" s="406"/>
      <c r="J57" s="406"/>
      <c r="K57" s="406"/>
      <c r="L57" s="406"/>
      <c r="M57" s="406"/>
    </row>
    <row r="58" spans="1:13" ht="15.6" customHeight="1" x14ac:dyDescent="0.2">
      <c r="A58" s="405" t="s">
        <v>282</v>
      </c>
      <c r="B58" s="405"/>
      <c r="C58" s="405"/>
      <c r="D58" s="405"/>
      <c r="E58" s="405"/>
      <c r="F58" s="405"/>
      <c r="G58" s="405"/>
      <c r="H58" s="405"/>
      <c r="I58" s="405"/>
      <c r="J58" s="405"/>
      <c r="K58" s="405"/>
      <c r="L58" s="405"/>
      <c r="M58" s="405"/>
    </row>
    <row r="59" spans="1:13" ht="15.6" customHeight="1" x14ac:dyDescent="0.2">
      <c r="A59" s="405" t="s">
        <v>283</v>
      </c>
      <c r="B59" s="405"/>
      <c r="C59" s="405"/>
      <c r="D59" s="405"/>
      <c r="E59" s="405"/>
      <c r="F59" s="405"/>
      <c r="G59" s="405"/>
      <c r="H59" s="405"/>
      <c r="I59" s="405"/>
      <c r="J59" s="405"/>
      <c r="K59" s="405"/>
      <c r="L59" s="405"/>
      <c r="M59" s="405"/>
    </row>
    <row r="60" spans="1:13" ht="24" customHeight="1" x14ac:dyDescent="0.2">
      <c r="A60" s="406" t="s">
        <v>284</v>
      </c>
      <c r="B60" s="406"/>
      <c r="C60" s="406"/>
      <c r="D60" s="406"/>
      <c r="E60" s="406"/>
      <c r="F60" s="406"/>
      <c r="G60" s="406"/>
      <c r="H60" s="406"/>
      <c r="I60" s="406"/>
      <c r="J60" s="406"/>
      <c r="K60" s="406"/>
      <c r="L60" s="406"/>
      <c r="M60" s="406"/>
    </row>
    <row r="61" spans="1:13" x14ac:dyDescent="0.2">
      <c r="A61" s="16" t="s">
        <v>285</v>
      </c>
    </row>
    <row r="62" spans="1:13" x14ac:dyDescent="0.2">
      <c r="A62" s="16" t="s">
        <v>286</v>
      </c>
    </row>
    <row r="63" spans="1:13" x14ac:dyDescent="0.2">
      <c r="A63" s="16" t="s">
        <v>287</v>
      </c>
    </row>
    <row r="64" spans="1:13" x14ac:dyDescent="0.2">
      <c r="A64" s="16" t="s">
        <v>288</v>
      </c>
    </row>
    <row r="65" spans="1:1" x14ac:dyDescent="0.2">
      <c r="A65" s="16" t="s">
        <v>289</v>
      </c>
    </row>
    <row r="66" spans="1:1" x14ac:dyDescent="0.2">
      <c r="A66" s="16" t="s">
        <v>290</v>
      </c>
    </row>
  </sheetData>
  <mergeCells count="23">
    <mergeCell ref="D4:F4"/>
    <mergeCell ref="A54:M54"/>
    <mergeCell ref="A48:M48"/>
    <mergeCell ref="A49:M49"/>
    <mergeCell ref="A50:M50"/>
    <mergeCell ref="A51:M51"/>
    <mergeCell ref="A52:M52"/>
    <mergeCell ref="A53:M53"/>
    <mergeCell ref="A43:M43"/>
    <mergeCell ref="A10:J10"/>
    <mergeCell ref="A27:B27"/>
    <mergeCell ref="A40:M40"/>
    <mergeCell ref="A41:M41"/>
    <mergeCell ref="A42:M42"/>
    <mergeCell ref="A44:M44"/>
    <mergeCell ref="A45:M45"/>
    <mergeCell ref="A59:M59"/>
    <mergeCell ref="A60:M60"/>
    <mergeCell ref="A46:M46"/>
    <mergeCell ref="A55:M55"/>
    <mergeCell ref="A56:M56"/>
    <mergeCell ref="A57:M57"/>
    <mergeCell ref="A58:M58"/>
  </mergeCells>
  <pageMargins left="0.7" right="0.7" top="0.75" bottom="0.75" header="0.3" footer="0.3"/>
  <pageSetup paperSize="9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J49"/>
  <sheetViews>
    <sheetView topLeftCell="A13" workbookViewId="0">
      <pane xSplit="2" ySplit="2" topLeftCell="C15" activePane="bottomRight" state="frozen"/>
      <selection activeCell="A13" sqref="A13"/>
      <selection pane="topRight" activeCell="C13" sqref="C13"/>
      <selection pane="bottomLeft" activeCell="A15" sqref="A15"/>
      <selection pane="bottomRight" activeCell="A15" sqref="A15"/>
    </sheetView>
  </sheetViews>
  <sheetFormatPr defaultColWidth="8.7109375" defaultRowHeight="12.75" x14ac:dyDescent="0.2"/>
  <cols>
    <col min="1" max="1" width="5.85546875" style="16" customWidth="1"/>
    <col min="2" max="2" width="18.5703125" style="16" customWidth="1"/>
    <col min="3" max="3" width="16" style="16" customWidth="1"/>
    <col min="4" max="4" width="7.140625" style="16" customWidth="1"/>
    <col min="5" max="6" width="8.140625" style="16" customWidth="1"/>
    <col min="7" max="7" width="19" style="16" customWidth="1"/>
    <col min="8" max="8" width="4.7109375" style="16" customWidth="1"/>
    <col min="9" max="9" width="13.28515625" style="16" customWidth="1"/>
    <col min="10" max="10" width="12.85546875" style="16" customWidth="1"/>
    <col min="11" max="11" width="8.5703125" style="16" customWidth="1"/>
    <col min="12" max="15" width="13.7109375" style="16" customWidth="1"/>
    <col min="16" max="17" width="15.28515625" style="16" customWidth="1"/>
    <col min="18" max="18" width="15.7109375" style="16" customWidth="1"/>
    <col min="19" max="19" width="14.7109375" style="16" customWidth="1"/>
    <col min="20" max="20" width="12" style="16" bestFit="1" customWidth="1"/>
    <col min="21" max="21" width="10.5703125" style="16" customWidth="1"/>
    <col min="22" max="22" width="11" style="16" customWidth="1"/>
    <col min="23" max="23" width="15.5703125" style="16" customWidth="1"/>
    <col min="24" max="24" width="12.140625" style="16" customWidth="1"/>
    <col min="25" max="25" width="12.5703125" style="16" customWidth="1"/>
    <col min="26" max="26" width="13.140625" style="16" customWidth="1"/>
    <col min="27" max="27" width="10.42578125" style="16" customWidth="1"/>
    <col min="28" max="28" width="13.7109375" style="16" customWidth="1"/>
    <col min="29" max="29" width="15.42578125" style="16" customWidth="1"/>
    <col min="30" max="30" width="16" style="16" customWidth="1"/>
    <col min="31" max="31" width="15.140625" style="16" customWidth="1"/>
    <col min="32" max="32" width="13" style="16" customWidth="1"/>
    <col min="33" max="33" width="12" style="16" customWidth="1"/>
    <col min="34" max="34" width="14.5703125" style="16" customWidth="1"/>
    <col min="35" max="35" width="8.7109375" style="16"/>
    <col min="36" max="36" width="15" style="19" bestFit="1" customWidth="1"/>
    <col min="37" max="38" width="14.5703125" style="16" bestFit="1" customWidth="1"/>
    <col min="39" max="39" width="11.85546875" style="16" bestFit="1" customWidth="1"/>
    <col min="40" max="40" width="11.85546875" style="16" customWidth="1"/>
    <col min="41" max="41" width="13.28515625" style="16" bestFit="1" customWidth="1"/>
    <col min="42" max="16384" width="8.7109375" style="16"/>
  </cols>
  <sheetData>
    <row r="2" spans="1:36" x14ac:dyDescent="0.2">
      <c r="B2" s="17" t="s">
        <v>293</v>
      </c>
      <c r="X2" s="18"/>
    </row>
    <row r="3" spans="1:36" x14ac:dyDescent="0.2">
      <c r="A3" s="20"/>
      <c r="B3" s="20"/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</row>
    <row r="4" spans="1:36" x14ac:dyDescent="0.2">
      <c r="A4" s="21" t="s">
        <v>67</v>
      </c>
      <c r="B4" s="22"/>
      <c r="C4" s="21"/>
      <c r="D4" s="407" t="str">
        <f>'910.00'!J10</f>
        <v>ТОО ААА</v>
      </c>
      <c r="E4" s="407"/>
      <c r="F4" s="407"/>
      <c r="G4" s="407"/>
      <c r="H4" s="407"/>
      <c r="I4" s="407"/>
      <c r="J4" s="407"/>
      <c r="K4" s="407"/>
      <c r="L4" s="407"/>
      <c r="M4" s="407"/>
      <c r="N4" s="407"/>
      <c r="O4" s="407"/>
      <c r="P4" s="407"/>
    </row>
    <row r="6" spans="1:36" x14ac:dyDescent="0.2">
      <c r="A6" s="16">
        <v>1</v>
      </c>
      <c r="B6" s="21" t="s">
        <v>68</v>
      </c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</row>
    <row r="7" spans="1:36" x14ac:dyDescent="0.2">
      <c r="A7" s="16">
        <v>2</v>
      </c>
      <c r="B7" s="23" t="s">
        <v>15</v>
      </c>
      <c r="C7" s="23"/>
      <c r="D7" s="23"/>
      <c r="E7" s="23"/>
      <c r="F7" s="23"/>
      <c r="G7" s="23"/>
      <c r="H7" s="23"/>
      <c r="I7" s="23"/>
      <c r="J7" s="23"/>
      <c r="K7" s="23"/>
      <c r="L7" s="23"/>
      <c r="M7" s="23"/>
      <c r="N7" s="23"/>
      <c r="O7" s="23"/>
      <c r="P7" s="24">
        <f>'910.00'!D8</f>
        <v>111111111111</v>
      </c>
    </row>
    <row r="8" spans="1:36" x14ac:dyDescent="0.2">
      <c r="A8" s="16">
        <v>3</v>
      </c>
      <c r="B8" s="21" t="s">
        <v>198</v>
      </c>
      <c r="C8" s="21"/>
      <c r="D8" s="21"/>
      <c r="E8" s="21"/>
      <c r="F8" s="21"/>
      <c r="G8" s="21"/>
      <c r="H8" s="21"/>
      <c r="I8" s="21"/>
      <c r="J8" s="21"/>
      <c r="K8" s="21"/>
      <c r="L8" s="21"/>
      <c r="M8" s="21"/>
      <c r="N8" s="21"/>
      <c r="O8" s="21"/>
      <c r="P8" s="21">
        <f>'910.00'!L12</f>
        <v>1</v>
      </c>
      <c r="Q8" s="16">
        <f>'910.00'!O12</f>
        <v>2021</v>
      </c>
    </row>
    <row r="9" spans="1:36" x14ac:dyDescent="0.2">
      <c r="A9" s="25"/>
      <c r="B9" s="25"/>
      <c r="C9" s="25"/>
      <c r="D9" s="25"/>
      <c r="E9" s="25"/>
      <c r="F9" s="25"/>
      <c r="G9" s="25"/>
      <c r="H9" s="25"/>
      <c r="I9" s="25"/>
      <c r="J9" s="25"/>
      <c r="K9" s="25"/>
      <c r="L9" s="25"/>
      <c r="M9" s="25"/>
      <c r="N9" s="25"/>
      <c r="O9" s="25"/>
      <c r="P9" s="25"/>
      <c r="Q9" s="25"/>
      <c r="R9" s="25"/>
      <c r="S9" s="25"/>
      <c r="T9" s="25"/>
    </row>
    <row r="10" spans="1:36" ht="18" customHeight="1" x14ac:dyDescent="0.2">
      <c r="A10" s="401" t="s">
        <v>295</v>
      </c>
      <c r="B10" s="401"/>
      <c r="C10" s="401"/>
      <c r="D10" s="401"/>
      <c r="E10" s="401"/>
      <c r="F10" s="401"/>
      <c r="G10" s="401"/>
      <c r="H10" s="401"/>
      <c r="I10" s="401"/>
      <c r="J10" s="401"/>
      <c r="K10" s="401"/>
      <c r="L10" s="401"/>
      <c r="M10" s="401"/>
      <c r="N10" s="401"/>
      <c r="O10" s="401"/>
      <c r="P10" s="401"/>
      <c r="Q10" s="401"/>
      <c r="R10" s="401"/>
      <c r="S10" s="401"/>
      <c r="T10" s="401"/>
      <c r="U10" s="401"/>
    </row>
    <row r="11" spans="1:36" x14ac:dyDescent="0.2">
      <c r="A11" s="25"/>
      <c r="B11" s="25"/>
      <c r="C11" s="25"/>
      <c r="D11" s="25"/>
      <c r="E11" s="25"/>
      <c r="F11" s="25"/>
      <c r="G11" s="25"/>
      <c r="H11" s="25"/>
      <c r="I11" s="25"/>
      <c r="J11" s="25"/>
      <c r="K11" s="25"/>
      <c r="L11" s="25"/>
      <c r="M11" s="25"/>
      <c r="N11" s="25"/>
      <c r="O11" s="25"/>
      <c r="P11" s="25"/>
      <c r="Q11" s="25"/>
      <c r="R11" s="25"/>
      <c r="S11" s="25"/>
      <c r="T11" s="25"/>
    </row>
    <row r="12" spans="1:36" x14ac:dyDescent="0.2">
      <c r="A12" s="25"/>
      <c r="B12" s="25"/>
      <c r="C12" s="25"/>
      <c r="D12" s="25"/>
      <c r="E12" s="25"/>
      <c r="F12" s="25"/>
      <c r="G12" s="25"/>
      <c r="H12" s="25"/>
      <c r="I12" s="25"/>
      <c r="J12" s="25"/>
      <c r="K12" s="25"/>
      <c r="L12" s="25"/>
      <c r="M12" s="25"/>
      <c r="N12" s="25"/>
      <c r="O12" s="25"/>
      <c r="P12" s="25"/>
      <c r="Q12" s="25"/>
      <c r="R12" s="25"/>
      <c r="S12" s="25"/>
      <c r="T12" s="25"/>
    </row>
    <row r="13" spans="1:36" ht="102" x14ac:dyDescent="0.2">
      <c r="A13" s="13" t="s">
        <v>69</v>
      </c>
      <c r="B13" s="1" t="s">
        <v>296</v>
      </c>
      <c r="C13" s="13" t="s">
        <v>297</v>
      </c>
      <c r="D13" s="13" t="s">
        <v>298</v>
      </c>
      <c r="E13" s="13" t="s">
        <v>299</v>
      </c>
      <c r="F13" s="13" t="s">
        <v>300</v>
      </c>
      <c r="G13" s="13" t="s">
        <v>301</v>
      </c>
      <c r="H13" s="408" t="s">
        <v>302</v>
      </c>
      <c r="I13" s="409"/>
      <c r="J13" s="410"/>
      <c r="K13" s="41" t="s">
        <v>305</v>
      </c>
      <c r="L13" s="41" t="s">
        <v>317</v>
      </c>
      <c r="M13" s="41" t="s">
        <v>318</v>
      </c>
      <c r="N13" s="41" t="s">
        <v>319</v>
      </c>
      <c r="O13" s="41" t="s">
        <v>320</v>
      </c>
      <c r="P13" s="13" t="s">
        <v>202</v>
      </c>
      <c r="Q13" s="13" t="s">
        <v>322</v>
      </c>
      <c r="R13" s="13" t="s">
        <v>323</v>
      </c>
      <c r="S13" s="13" t="s">
        <v>324</v>
      </c>
      <c r="T13" s="13" t="s">
        <v>238</v>
      </c>
      <c r="U13" s="13" t="s">
        <v>239</v>
      </c>
      <c r="V13" s="13" t="s">
        <v>262</v>
      </c>
      <c r="W13" s="13" t="s">
        <v>240</v>
      </c>
      <c r="X13" s="13" t="s">
        <v>263</v>
      </c>
      <c r="Y13" s="13" t="s">
        <v>241</v>
      </c>
      <c r="Z13" s="13" t="s">
        <v>203</v>
      </c>
      <c r="AA13" s="13" t="s">
        <v>257</v>
      </c>
      <c r="AB13" s="13" t="s">
        <v>204</v>
      </c>
      <c r="AC13" s="13" t="s">
        <v>205</v>
      </c>
      <c r="AD13" s="13" t="s">
        <v>242</v>
      </c>
      <c r="AE13" s="13" t="s">
        <v>243</v>
      </c>
      <c r="AF13" s="13" t="s">
        <v>333</v>
      </c>
      <c r="AG13" s="13" t="s">
        <v>244</v>
      </c>
      <c r="AH13" s="13" t="s">
        <v>245</v>
      </c>
      <c r="AJ13" s="16"/>
    </row>
    <row r="14" spans="1:36" x14ac:dyDescent="0.2">
      <c r="A14" s="13" t="s">
        <v>185</v>
      </c>
      <c r="B14" s="13" t="s">
        <v>186</v>
      </c>
      <c r="C14" s="13" t="s">
        <v>187</v>
      </c>
      <c r="D14" s="13" t="s">
        <v>9</v>
      </c>
      <c r="E14" s="13" t="s">
        <v>206</v>
      </c>
      <c r="F14" s="13" t="s">
        <v>207</v>
      </c>
      <c r="G14" s="13" t="s">
        <v>208</v>
      </c>
      <c r="H14" s="408" t="s">
        <v>209</v>
      </c>
      <c r="I14" s="409"/>
      <c r="J14" s="410"/>
      <c r="K14" s="13" t="s">
        <v>106</v>
      </c>
      <c r="L14" s="13" t="s">
        <v>210</v>
      </c>
      <c r="M14" s="13" t="s">
        <v>211</v>
      </c>
      <c r="N14" s="13" t="s">
        <v>212</v>
      </c>
      <c r="O14" s="13" t="s">
        <v>213</v>
      </c>
      <c r="P14" s="13" t="s">
        <v>214</v>
      </c>
      <c r="Q14" s="13" t="s">
        <v>215</v>
      </c>
      <c r="R14" s="13" t="s">
        <v>216</v>
      </c>
      <c r="S14" s="13" t="s">
        <v>217</v>
      </c>
      <c r="T14" s="13" t="s">
        <v>218</v>
      </c>
      <c r="U14" s="13" t="s">
        <v>219</v>
      </c>
      <c r="V14" s="13" t="s">
        <v>246</v>
      </c>
      <c r="W14" s="13" t="s">
        <v>247</v>
      </c>
      <c r="X14" s="13" t="s">
        <v>113</v>
      </c>
      <c r="Y14" s="13" t="s">
        <v>248</v>
      </c>
      <c r="Z14" s="13" t="s">
        <v>160</v>
      </c>
      <c r="AA14" s="13" t="s">
        <v>327</v>
      </c>
      <c r="AB14" s="13" t="s">
        <v>328</v>
      </c>
      <c r="AC14" s="13" t="s">
        <v>329</v>
      </c>
      <c r="AD14" s="13" t="s">
        <v>330</v>
      </c>
      <c r="AE14" s="13" t="s">
        <v>331</v>
      </c>
      <c r="AF14" s="13" t="s">
        <v>332</v>
      </c>
      <c r="AG14" s="13" t="s">
        <v>334</v>
      </c>
      <c r="AH14" s="13" t="s">
        <v>335</v>
      </c>
      <c r="AJ14" s="16"/>
    </row>
    <row r="15" spans="1:36" x14ac:dyDescent="0.2">
      <c r="A15" s="26">
        <v>1</v>
      </c>
      <c r="B15" s="26" t="s">
        <v>375</v>
      </c>
      <c r="C15" s="27"/>
      <c r="D15" s="42"/>
      <c r="E15" s="28">
        <v>1</v>
      </c>
      <c r="F15" s="28"/>
      <c r="G15" s="27"/>
      <c r="H15" s="40" t="s">
        <v>306</v>
      </c>
      <c r="I15" s="40" t="s">
        <v>303</v>
      </c>
      <c r="J15" s="39">
        <v>43831</v>
      </c>
      <c r="K15" s="40"/>
      <c r="L15" s="40"/>
      <c r="M15" s="40"/>
      <c r="N15" s="40"/>
      <c r="O15" s="43">
        <v>0.1</v>
      </c>
      <c r="P15" s="29">
        <f>SUMIF(свод!B$14:B$25,'910.02'!B15,свод!AF$14:AF$25)</f>
        <v>1200000</v>
      </c>
      <c r="Q15" s="44"/>
      <c r="R15" s="31">
        <f>IF(E15=1,SUMIF(свод!B$14:B$25,'910.02'!B15,свод!I$14:I$25),0)</f>
        <v>0</v>
      </c>
      <c r="S15" s="31">
        <f>IF(E15=2,SUMIF(свод!B$14:B$25,'910.02'!B15,свод!I$14:I$25),0)</f>
        <v>0</v>
      </c>
      <c r="T15" s="31">
        <f>SUMIF(свод!B$14:B$25,'910.02'!B15,свод!P$14:P$25)</f>
        <v>0</v>
      </c>
      <c r="U15" s="31">
        <f>SUMIF(свод!B$14:B$25,'910.02'!B15,свод!AC$14:AC$25)</f>
        <v>0</v>
      </c>
      <c r="V15" s="30"/>
      <c r="W15" s="31">
        <f>SUMIF(свод!B$14:B$25,'910.02'!B15,свод!E$14:E$25)+SUMIF(свод!B$14:B$25,'910.02'!B15,свод!G$14:G$25)</f>
        <v>0</v>
      </c>
      <c r="X15" s="30"/>
      <c r="Y15" s="31">
        <f>SUMIF(свод!B$14:B$25,'910.02'!B15,свод!H$14:H$25)</f>
        <v>0</v>
      </c>
      <c r="Z15" s="31">
        <f>SUMIF(свод!B$14:B$25,'910.02'!B15,свод!L$14:L$25)</f>
        <v>120000</v>
      </c>
      <c r="AA15" s="12"/>
      <c r="AB15" s="32">
        <f>P15-T15-U15-Z15</f>
        <v>1080000</v>
      </c>
      <c r="AC15" s="38">
        <f>Z15</f>
        <v>120000</v>
      </c>
      <c r="AD15" s="38">
        <f>T15</f>
        <v>0</v>
      </c>
      <c r="AE15" s="38">
        <f>U15</f>
        <v>0</v>
      </c>
      <c r="AF15" s="31">
        <f>SUMIF(свод!B$14:B$25,'910.02'!B15,свод!T$14:T$25)</f>
        <v>0</v>
      </c>
      <c r="AG15" s="31">
        <f>SUMIF(свод!B$14:B$25,'910.02'!B15,свод!V$14:V$25)</f>
        <v>0</v>
      </c>
      <c r="AH15" s="31">
        <f>SUMIF(свод!B$14:B$25,'910.02'!B15,свод!AB$14:AB$25)</f>
        <v>0</v>
      </c>
      <c r="AJ15" s="16"/>
    </row>
    <row r="16" spans="1:36" x14ac:dyDescent="0.2">
      <c r="A16" s="26">
        <v>2</v>
      </c>
      <c r="B16" s="26" t="s">
        <v>373</v>
      </c>
      <c r="C16" s="27"/>
      <c r="D16" s="42"/>
      <c r="E16" s="28">
        <v>2</v>
      </c>
      <c r="F16" s="28"/>
      <c r="G16" s="27"/>
      <c r="H16" s="40" t="s">
        <v>307</v>
      </c>
      <c r="I16" s="40" t="s">
        <v>304</v>
      </c>
      <c r="J16" s="39">
        <v>40179</v>
      </c>
      <c r="K16" s="40"/>
      <c r="L16" s="40"/>
      <c r="M16" s="40"/>
      <c r="N16" s="40"/>
      <c r="O16" s="43">
        <v>0.1</v>
      </c>
      <c r="P16" s="29">
        <f>SUMIF(свод!B$14:B$25,'910.02'!B16,свод!AF$14:AF$25)</f>
        <v>1100000</v>
      </c>
      <c r="Q16" s="44"/>
      <c r="R16" s="31">
        <f>IF(E16=1,SUMIF(свод!B$14:B$25,'910.02'!B16,свод!I$14:I$25),0)</f>
        <v>0</v>
      </c>
      <c r="S16" s="31">
        <f>IF(E16=2,SUMIF(свод!B$14:B$25,'910.02'!B16,свод!I$14:I$25),0)</f>
        <v>0</v>
      </c>
      <c r="T16" s="31">
        <f>SUMIF(свод!B$14:B$25,'910.02'!B16,свод!P$14:P$25)</f>
        <v>110000</v>
      </c>
      <c r="U16" s="31">
        <f>SUMIF(свод!B$14:B$25,'910.02'!B16,свод!AC$14:AC$25)</f>
        <v>22000</v>
      </c>
      <c r="V16" s="30"/>
      <c r="W16" s="31">
        <f>SUMIF(свод!B$14:B$25,'910.02'!B16,свод!E$14:E$25)+SUMIF(свод!B$14:B$25,'910.02'!B16,свод!G$14:G$25)</f>
        <v>212500</v>
      </c>
      <c r="X16" s="30"/>
      <c r="Y16" s="31">
        <f>SUMIF(свод!B$14:B$25,'910.02'!B16,свод!H$14:H$25)</f>
        <v>0</v>
      </c>
      <c r="Z16" s="31">
        <f>SUMIF(свод!B$14:B$25,'910.02'!B16,свод!L$14:L$25)</f>
        <v>75550</v>
      </c>
      <c r="AA16" s="12"/>
      <c r="AB16" s="32">
        <f t="shared" ref="AB16:AB26" si="0">P16-T16-U16-Z16</f>
        <v>892450</v>
      </c>
      <c r="AC16" s="38">
        <f t="shared" ref="AC16:AC26" si="1">Z16</f>
        <v>75550</v>
      </c>
      <c r="AD16" s="38">
        <f t="shared" ref="AD16:AE26" si="2">T16</f>
        <v>110000</v>
      </c>
      <c r="AE16" s="38">
        <f t="shared" si="2"/>
        <v>22000</v>
      </c>
      <c r="AF16" s="31">
        <f>SUMIF(свод!B$14:B$25,'910.02'!B16,свод!T$14:T$25)</f>
        <v>34650</v>
      </c>
      <c r="AG16" s="31">
        <f>SUMIF(свод!B$14:B$25,'910.02'!B16,свод!V$14:V$25)</f>
        <v>0</v>
      </c>
      <c r="AH16" s="31">
        <f>SUMIF(свод!B$14:B$25,'910.02'!B16,свод!AB$14:AB$25)</f>
        <v>22000</v>
      </c>
      <c r="AJ16" s="16"/>
    </row>
    <row r="17" spans="1:36" x14ac:dyDescent="0.2">
      <c r="A17" s="26">
        <v>3</v>
      </c>
      <c r="B17" s="26" t="s">
        <v>363</v>
      </c>
      <c r="C17" s="27"/>
      <c r="D17" s="42"/>
      <c r="E17" s="28">
        <v>2</v>
      </c>
      <c r="F17" s="28"/>
      <c r="G17" s="27"/>
      <c r="H17" s="40"/>
      <c r="I17" s="40"/>
      <c r="J17" s="39"/>
      <c r="K17" s="40"/>
      <c r="L17" s="40"/>
      <c r="M17" s="40"/>
      <c r="N17" s="40"/>
      <c r="O17" s="43">
        <v>0.15</v>
      </c>
      <c r="P17" s="29">
        <f>SUMIF(свод!B$14:B$25,'910.02'!B17,свод!AF$14:AF$25)</f>
        <v>1500000</v>
      </c>
      <c r="Q17" s="44"/>
      <c r="R17" s="31">
        <f>IF(E17=1,SUMIF(свод!B$14:B$25,'910.02'!B17,свод!I$14:I$25),0)</f>
        <v>0</v>
      </c>
      <c r="S17" s="31">
        <f>IF(E17=2,SUMIF(свод!B$14:B$25,'910.02'!B17,свод!I$14:I$25),0)</f>
        <v>0</v>
      </c>
      <c r="T17" s="31">
        <f>SUMIF(свод!B$14:B$25,'910.02'!B17,свод!P$14:P$25)</f>
        <v>0</v>
      </c>
      <c r="U17" s="31">
        <f>SUMIF(свод!B$14:B$25,'910.02'!B17,свод!AC$14:AC$25)</f>
        <v>0</v>
      </c>
      <c r="V17" s="30"/>
      <c r="W17" s="31">
        <f>SUMIF(свод!B$14:B$25,'910.02'!B17,свод!E$14:E$25)+SUMIF(свод!B$14:B$25,'910.02'!B17,свод!G$14:G$25)</f>
        <v>0</v>
      </c>
      <c r="X17" s="30"/>
      <c r="Y17" s="31">
        <f>SUMIF(свод!B$14:B$25,'910.02'!B17,свод!H$14:H$25)</f>
        <v>0</v>
      </c>
      <c r="Z17" s="31">
        <f>SUMIF(свод!B$14:B$25,'910.02'!B17,свод!L$14:L$25)</f>
        <v>225000</v>
      </c>
      <c r="AA17" s="12"/>
      <c r="AB17" s="32">
        <f t="shared" si="0"/>
        <v>1275000</v>
      </c>
      <c r="AC17" s="38">
        <f t="shared" si="1"/>
        <v>225000</v>
      </c>
      <c r="AD17" s="38">
        <f t="shared" si="2"/>
        <v>0</v>
      </c>
      <c r="AE17" s="38">
        <f t="shared" si="2"/>
        <v>0</v>
      </c>
      <c r="AF17" s="31">
        <f>SUMIF(свод!B$14:B$25,'910.02'!B17,свод!T$14:T$25)</f>
        <v>0</v>
      </c>
      <c r="AG17" s="31">
        <f>SUMIF(свод!B$14:B$25,'910.02'!B17,свод!V$14:V$25)</f>
        <v>0</v>
      </c>
      <c r="AH17" s="31">
        <f>SUMIF(свод!B$14:B$25,'910.02'!B17,свод!AB$14:AB$25)</f>
        <v>0</v>
      </c>
      <c r="AJ17" s="16"/>
    </row>
    <row r="18" spans="1:36" x14ac:dyDescent="0.2">
      <c r="A18" s="26">
        <v>4</v>
      </c>
      <c r="B18" s="26"/>
      <c r="C18" s="27"/>
      <c r="D18" s="42"/>
      <c r="E18" s="28"/>
      <c r="F18" s="28"/>
      <c r="G18" s="27"/>
      <c r="H18" s="40"/>
      <c r="I18" s="40"/>
      <c r="J18" s="39"/>
      <c r="K18" s="40"/>
      <c r="L18" s="40"/>
      <c r="M18" s="40"/>
      <c r="N18" s="40"/>
      <c r="O18" s="43"/>
      <c r="P18" s="29">
        <f>SUMIF(свод!B$14:B$25,'910.02'!B18,свод!AF$14:AF$25)</f>
        <v>0</v>
      </c>
      <c r="Q18" s="44"/>
      <c r="R18" s="31">
        <f>IF(E18=1,SUMIF(свод!B$14:B$25,'910.02'!B18,свод!I$14:I$25),0)</f>
        <v>0</v>
      </c>
      <c r="S18" s="31">
        <f>IF(E18=2,SUMIF(свод!B$14:B$25,'910.02'!B18,свод!I$14:I$25),0)</f>
        <v>0</v>
      </c>
      <c r="T18" s="31">
        <f>SUMIF(свод!B$14:B$25,'910.02'!B18,свод!P$14:P$25)</f>
        <v>0</v>
      </c>
      <c r="U18" s="31">
        <f>SUMIF(свод!B$14:B$25,'910.02'!B18,свод!AC$14:AC$25)</f>
        <v>0</v>
      </c>
      <c r="V18" s="30"/>
      <c r="W18" s="31">
        <f>SUMIF(свод!B$14:B$25,'910.02'!B18,свод!E$14:E$25)+SUMIF(свод!B$14:B$25,'910.02'!B18,свод!G$14:G$25)</f>
        <v>0</v>
      </c>
      <c r="X18" s="30"/>
      <c r="Y18" s="31">
        <f>SUMIF(свод!B$14:B$25,'910.02'!B18,свод!H$14:H$25)</f>
        <v>0</v>
      </c>
      <c r="Z18" s="31">
        <f>SUMIF(свод!B$14:B$25,'910.02'!B18,свод!L$14:L$25)</f>
        <v>0</v>
      </c>
      <c r="AA18" s="12"/>
      <c r="AB18" s="32">
        <f t="shared" si="0"/>
        <v>0</v>
      </c>
      <c r="AC18" s="38">
        <f t="shared" si="1"/>
        <v>0</v>
      </c>
      <c r="AD18" s="38">
        <f t="shared" si="2"/>
        <v>0</v>
      </c>
      <c r="AE18" s="38">
        <f t="shared" si="2"/>
        <v>0</v>
      </c>
      <c r="AF18" s="31">
        <f>SUMIF(свод!B$14:B$25,'910.02'!B18,свод!T$14:T$25)</f>
        <v>0</v>
      </c>
      <c r="AG18" s="31">
        <f>SUMIF(свод!B$14:B$25,'910.02'!B18,свод!V$14:V$25)</f>
        <v>0</v>
      </c>
      <c r="AH18" s="31">
        <f>SUMIF(свод!B$14:B$25,'910.02'!B18,свод!AB$14:AB$25)</f>
        <v>0</v>
      </c>
      <c r="AJ18" s="16"/>
    </row>
    <row r="19" spans="1:36" x14ac:dyDescent="0.2">
      <c r="A19" s="26">
        <v>5</v>
      </c>
      <c r="B19" s="26"/>
      <c r="C19" s="27"/>
      <c r="D19" s="42"/>
      <c r="E19" s="28"/>
      <c r="F19" s="28"/>
      <c r="G19" s="27"/>
      <c r="H19" s="40"/>
      <c r="I19" s="40"/>
      <c r="J19" s="39"/>
      <c r="K19" s="40"/>
      <c r="L19" s="40"/>
      <c r="M19" s="40"/>
      <c r="N19" s="40"/>
      <c r="O19" s="43"/>
      <c r="P19" s="29">
        <f>SUMIF(свод!B$14:B$25,'910.02'!B19,свод!AF$14:AF$25)</f>
        <v>0</v>
      </c>
      <c r="Q19" s="44"/>
      <c r="R19" s="31">
        <f>IF(E19=1,SUMIF(свод!B$14:B$25,'910.02'!B19,свод!I$14:I$25),0)</f>
        <v>0</v>
      </c>
      <c r="S19" s="31">
        <f>IF(E19=2,SUMIF(свод!B$14:B$25,'910.02'!B19,свод!I$14:I$25),0)</f>
        <v>0</v>
      </c>
      <c r="T19" s="31">
        <f>SUMIF(свод!B$14:B$25,'910.02'!B19,свод!P$14:P$25)</f>
        <v>0</v>
      </c>
      <c r="U19" s="31">
        <f>SUMIF(свод!B$14:B$25,'910.02'!B19,свод!AC$14:AC$25)</f>
        <v>0</v>
      </c>
      <c r="V19" s="30"/>
      <c r="W19" s="31">
        <f>SUMIF(свод!B$14:B$25,'910.02'!B19,свод!E$14:E$25)+SUMIF(свод!B$14:B$25,'910.02'!B19,свод!G$14:G$25)</f>
        <v>0</v>
      </c>
      <c r="X19" s="30"/>
      <c r="Y19" s="31">
        <f>SUMIF(свод!B$14:B$25,'910.02'!B19,свод!H$14:H$25)</f>
        <v>0</v>
      </c>
      <c r="Z19" s="31">
        <f>SUMIF(свод!B$14:B$25,'910.02'!B19,свод!L$14:L$25)</f>
        <v>0</v>
      </c>
      <c r="AA19" s="12"/>
      <c r="AB19" s="32">
        <f t="shared" si="0"/>
        <v>0</v>
      </c>
      <c r="AC19" s="38">
        <f t="shared" si="1"/>
        <v>0</v>
      </c>
      <c r="AD19" s="38">
        <f t="shared" si="2"/>
        <v>0</v>
      </c>
      <c r="AE19" s="38">
        <f t="shared" si="2"/>
        <v>0</v>
      </c>
      <c r="AF19" s="31">
        <f>SUMIF(свод!B$14:B$25,'910.02'!B19,свод!T$14:T$25)</f>
        <v>0</v>
      </c>
      <c r="AG19" s="31">
        <f>SUMIF(свод!B$14:B$25,'910.02'!B19,свод!V$14:V$25)</f>
        <v>0</v>
      </c>
      <c r="AH19" s="31">
        <f>SUMIF(свод!B$14:B$25,'910.02'!B19,свод!AB$14:AB$25)</f>
        <v>0</v>
      </c>
      <c r="AJ19" s="16"/>
    </row>
    <row r="20" spans="1:36" x14ac:dyDescent="0.2">
      <c r="A20" s="26">
        <v>6</v>
      </c>
      <c r="B20" s="26"/>
      <c r="C20" s="27"/>
      <c r="D20" s="42"/>
      <c r="E20" s="28"/>
      <c r="F20" s="28"/>
      <c r="G20" s="27"/>
      <c r="H20" s="40"/>
      <c r="I20" s="40"/>
      <c r="J20" s="39"/>
      <c r="K20" s="40"/>
      <c r="L20" s="40"/>
      <c r="M20" s="40"/>
      <c r="N20" s="40"/>
      <c r="O20" s="43"/>
      <c r="P20" s="29">
        <f>SUMIF(свод!B$14:B$25,'910.02'!B20,свод!AF$14:AF$25)</f>
        <v>0</v>
      </c>
      <c r="Q20" s="44"/>
      <c r="R20" s="31">
        <f>IF(E20=1,SUMIF(свод!B$14:B$25,'910.02'!B20,свод!I$14:I$25),0)</f>
        <v>0</v>
      </c>
      <c r="S20" s="31">
        <f>IF(E20=2,SUMIF(свод!B$14:B$25,'910.02'!B20,свод!I$14:I$25),0)</f>
        <v>0</v>
      </c>
      <c r="T20" s="31">
        <f>SUMIF(свод!B$14:B$25,'910.02'!B20,свод!P$14:P$25)</f>
        <v>0</v>
      </c>
      <c r="U20" s="31">
        <f>SUMIF(свод!B$14:B$25,'910.02'!B20,свод!AC$14:AC$25)</f>
        <v>0</v>
      </c>
      <c r="V20" s="30"/>
      <c r="W20" s="31">
        <f>SUMIF(свод!B$14:B$25,'910.02'!B20,свод!E$14:E$25)+SUMIF(свод!B$14:B$25,'910.02'!B20,свод!G$14:G$25)</f>
        <v>0</v>
      </c>
      <c r="X20" s="30"/>
      <c r="Y20" s="31">
        <f>SUMIF(свод!B$14:B$25,'910.02'!B20,свод!H$14:H$25)</f>
        <v>0</v>
      </c>
      <c r="Z20" s="31">
        <f>SUMIF(свод!B$14:B$25,'910.02'!B20,свод!L$14:L$25)</f>
        <v>0</v>
      </c>
      <c r="AA20" s="12"/>
      <c r="AB20" s="32">
        <f t="shared" si="0"/>
        <v>0</v>
      </c>
      <c r="AC20" s="38">
        <f t="shared" si="1"/>
        <v>0</v>
      </c>
      <c r="AD20" s="38">
        <f t="shared" si="2"/>
        <v>0</v>
      </c>
      <c r="AE20" s="38">
        <f t="shared" si="2"/>
        <v>0</v>
      </c>
      <c r="AF20" s="31">
        <f>SUMIF(свод!B$14:B$25,'910.02'!B20,свод!T$14:T$25)</f>
        <v>0</v>
      </c>
      <c r="AG20" s="31">
        <f>SUMIF(свод!B$14:B$25,'910.02'!B20,свод!V$14:V$25)</f>
        <v>0</v>
      </c>
      <c r="AH20" s="31">
        <f>SUMIF(свод!B$14:B$25,'910.02'!B20,свод!AB$14:AB$25)</f>
        <v>0</v>
      </c>
      <c r="AJ20" s="16"/>
    </row>
    <row r="21" spans="1:36" x14ac:dyDescent="0.2">
      <c r="A21" s="26">
        <v>7</v>
      </c>
      <c r="B21" s="26"/>
      <c r="C21" s="27"/>
      <c r="D21" s="42"/>
      <c r="E21" s="28"/>
      <c r="F21" s="28"/>
      <c r="G21" s="27"/>
      <c r="H21" s="40"/>
      <c r="I21" s="40"/>
      <c r="J21" s="39"/>
      <c r="K21" s="40"/>
      <c r="L21" s="40"/>
      <c r="M21" s="40"/>
      <c r="N21" s="40"/>
      <c r="O21" s="43"/>
      <c r="P21" s="29">
        <f>SUMIF(свод!B$14:B$25,'910.02'!B21,свод!AF$14:AF$25)</f>
        <v>0</v>
      </c>
      <c r="Q21" s="44"/>
      <c r="R21" s="31">
        <f>IF(E21=1,SUMIF(свод!B$14:B$25,'910.02'!B21,свод!I$14:I$25),0)</f>
        <v>0</v>
      </c>
      <c r="S21" s="31">
        <f>IF(E21=2,SUMIF(свод!B$14:B$25,'910.02'!B21,свод!I$14:I$25),0)</f>
        <v>0</v>
      </c>
      <c r="T21" s="31">
        <f>SUMIF(свод!B$14:B$25,'910.02'!B21,свод!P$14:P$25)</f>
        <v>0</v>
      </c>
      <c r="U21" s="31">
        <f>SUMIF(свод!B$14:B$25,'910.02'!B21,свод!AC$14:AC$25)</f>
        <v>0</v>
      </c>
      <c r="V21" s="30"/>
      <c r="W21" s="31">
        <f>SUMIF(свод!B$14:B$25,'910.02'!B21,свод!E$14:E$25)+SUMIF(свод!B$14:B$25,'910.02'!B21,свод!G$14:G$25)</f>
        <v>0</v>
      </c>
      <c r="X21" s="30"/>
      <c r="Y21" s="31">
        <f>SUMIF(свод!B$14:B$25,'910.02'!B21,свод!H$14:H$25)</f>
        <v>0</v>
      </c>
      <c r="Z21" s="31">
        <f>SUMIF(свод!B$14:B$25,'910.02'!B21,свод!L$14:L$25)</f>
        <v>0</v>
      </c>
      <c r="AA21" s="12"/>
      <c r="AB21" s="32">
        <f t="shared" si="0"/>
        <v>0</v>
      </c>
      <c r="AC21" s="38">
        <f t="shared" si="1"/>
        <v>0</v>
      </c>
      <c r="AD21" s="38">
        <f t="shared" si="2"/>
        <v>0</v>
      </c>
      <c r="AE21" s="38">
        <f t="shared" si="2"/>
        <v>0</v>
      </c>
      <c r="AF21" s="31">
        <f>SUMIF(свод!B$14:B$25,'910.02'!B21,свод!T$14:T$25)</f>
        <v>0</v>
      </c>
      <c r="AG21" s="31">
        <f>SUMIF(свод!B$14:B$25,'910.02'!B21,свод!V$14:V$25)</f>
        <v>0</v>
      </c>
      <c r="AH21" s="31">
        <f>SUMIF(свод!B$14:B$25,'910.02'!B21,свод!AB$14:AB$25)</f>
        <v>0</v>
      </c>
      <c r="AJ21" s="16"/>
    </row>
    <row r="22" spans="1:36" x14ac:dyDescent="0.2">
      <c r="A22" s="26">
        <v>8</v>
      </c>
      <c r="B22" s="26"/>
      <c r="C22" s="27"/>
      <c r="D22" s="42"/>
      <c r="E22" s="28"/>
      <c r="F22" s="28"/>
      <c r="G22" s="27"/>
      <c r="H22" s="40"/>
      <c r="I22" s="40"/>
      <c r="J22" s="39"/>
      <c r="K22" s="40"/>
      <c r="L22" s="40"/>
      <c r="M22" s="40"/>
      <c r="N22" s="40"/>
      <c r="O22" s="43"/>
      <c r="P22" s="29">
        <f>SUMIF(свод!B$14:B$25,'910.02'!B22,свод!AF$14:AF$25)</f>
        <v>0</v>
      </c>
      <c r="Q22" s="44"/>
      <c r="R22" s="31">
        <f>IF(E22=1,SUMIF(свод!B$14:B$25,'910.02'!B22,свод!I$14:I$25),0)</f>
        <v>0</v>
      </c>
      <c r="S22" s="31">
        <f>IF(E22=2,SUMIF(свод!B$14:B$25,'910.02'!B22,свод!I$14:I$25),0)</f>
        <v>0</v>
      </c>
      <c r="T22" s="31">
        <f>SUMIF(свод!B$14:B$25,'910.02'!B22,свод!P$14:P$25)</f>
        <v>0</v>
      </c>
      <c r="U22" s="31">
        <f>SUMIF(свод!B$14:B$25,'910.02'!B22,свод!AC$14:AC$25)</f>
        <v>0</v>
      </c>
      <c r="V22" s="30"/>
      <c r="W22" s="31">
        <f>SUMIF(свод!B$14:B$25,'910.02'!B22,свод!E$14:E$25)+SUMIF(свод!B$14:B$25,'910.02'!B22,свод!G$14:G$25)</f>
        <v>0</v>
      </c>
      <c r="X22" s="30"/>
      <c r="Y22" s="31">
        <f>SUMIF(свод!B$14:B$25,'910.02'!B22,свод!H$14:H$25)</f>
        <v>0</v>
      </c>
      <c r="Z22" s="31">
        <f>SUMIF(свод!B$14:B$25,'910.02'!B22,свод!L$14:L$25)</f>
        <v>0</v>
      </c>
      <c r="AA22" s="12"/>
      <c r="AB22" s="32">
        <f t="shared" si="0"/>
        <v>0</v>
      </c>
      <c r="AC22" s="38">
        <f t="shared" si="1"/>
        <v>0</v>
      </c>
      <c r="AD22" s="38">
        <f t="shared" si="2"/>
        <v>0</v>
      </c>
      <c r="AE22" s="38">
        <f t="shared" si="2"/>
        <v>0</v>
      </c>
      <c r="AF22" s="31">
        <f>SUMIF(свод!B$14:B$25,'910.02'!B22,свод!T$14:T$25)</f>
        <v>0</v>
      </c>
      <c r="AG22" s="31">
        <f>SUMIF(свод!B$14:B$25,'910.02'!B22,свод!V$14:V$25)</f>
        <v>0</v>
      </c>
      <c r="AH22" s="31">
        <f>SUMIF(свод!B$14:B$25,'910.02'!B22,свод!AB$14:AB$25)</f>
        <v>0</v>
      </c>
      <c r="AJ22" s="16"/>
    </row>
    <row r="23" spans="1:36" x14ac:dyDescent="0.2">
      <c r="A23" s="26">
        <v>9</v>
      </c>
      <c r="B23" s="26"/>
      <c r="C23" s="27"/>
      <c r="D23" s="42"/>
      <c r="E23" s="28"/>
      <c r="F23" s="28"/>
      <c r="G23" s="27"/>
      <c r="H23" s="40"/>
      <c r="I23" s="40"/>
      <c r="J23" s="39"/>
      <c r="K23" s="40"/>
      <c r="L23" s="40"/>
      <c r="M23" s="40"/>
      <c r="N23" s="40"/>
      <c r="O23" s="43"/>
      <c r="P23" s="29">
        <f>SUMIF(свод!B$14:B$25,'910.02'!B23,свод!AF$14:AF$25)</f>
        <v>0</v>
      </c>
      <c r="Q23" s="44"/>
      <c r="R23" s="31">
        <f>IF(E23=1,SUMIF(свод!B$14:B$25,'910.02'!B23,свод!I$14:I$25),0)</f>
        <v>0</v>
      </c>
      <c r="S23" s="31">
        <f>IF(E23=2,SUMIF(свод!B$14:B$25,'910.02'!B23,свод!I$14:I$25),0)</f>
        <v>0</v>
      </c>
      <c r="T23" s="31">
        <f>SUMIF(свод!B$14:B$25,'910.02'!B23,свод!P$14:P$25)</f>
        <v>0</v>
      </c>
      <c r="U23" s="31">
        <f>SUMIF(свод!B$14:B$25,'910.02'!B23,свод!AC$14:AC$25)</f>
        <v>0</v>
      </c>
      <c r="V23" s="30"/>
      <c r="W23" s="31">
        <f>SUMIF(свод!B$14:B$25,'910.02'!B23,свод!E$14:E$25)+SUMIF(свод!B$14:B$25,'910.02'!B23,свод!G$14:G$25)</f>
        <v>0</v>
      </c>
      <c r="X23" s="30"/>
      <c r="Y23" s="31">
        <f>SUMIF(свод!B$14:B$25,'910.02'!B23,свод!H$14:H$25)</f>
        <v>0</v>
      </c>
      <c r="Z23" s="31">
        <f>SUMIF(свод!B$14:B$25,'910.02'!B23,свод!L$14:L$25)</f>
        <v>0</v>
      </c>
      <c r="AA23" s="12"/>
      <c r="AB23" s="32">
        <f t="shared" si="0"/>
        <v>0</v>
      </c>
      <c r="AC23" s="38">
        <f t="shared" si="1"/>
        <v>0</v>
      </c>
      <c r="AD23" s="38">
        <f t="shared" si="2"/>
        <v>0</v>
      </c>
      <c r="AE23" s="38">
        <f t="shared" si="2"/>
        <v>0</v>
      </c>
      <c r="AF23" s="31">
        <f>SUMIF(свод!B$14:B$25,'910.02'!B23,свод!T$14:T$25)</f>
        <v>0</v>
      </c>
      <c r="AG23" s="31">
        <f>SUMIF(свод!B$14:B$25,'910.02'!B23,свод!V$14:V$25)</f>
        <v>0</v>
      </c>
      <c r="AH23" s="31">
        <f>SUMIF(свод!B$14:B$25,'910.02'!B23,свод!AB$14:AB$25)</f>
        <v>0</v>
      </c>
      <c r="AJ23" s="16"/>
    </row>
    <row r="24" spans="1:36" x14ac:dyDescent="0.2">
      <c r="A24" s="26">
        <v>10</v>
      </c>
      <c r="B24" s="26"/>
      <c r="C24" s="27"/>
      <c r="D24" s="42"/>
      <c r="E24" s="28"/>
      <c r="F24" s="28"/>
      <c r="G24" s="27"/>
      <c r="H24" s="40"/>
      <c r="I24" s="40"/>
      <c r="J24" s="39"/>
      <c r="K24" s="40"/>
      <c r="L24" s="40"/>
      <c r="M24" s="40"/>
      <c r="N24" s="40"/>
      <c r="O24" s="43"/>
      <c r="P24" s="29">
        <f>SUMIF(свод!B$14:B$25,'910.02'!B24,свод!AF$14:AF$25)</f>
        <v>0</v>
      </c>
      <c r="Q24" s="44"/>
      <c r="R24" s="31">
        <f>IF(E24=1,SUMIF(свод!B$14:B$25,'910.02'!B24,свод!I$14:I$25),0)</f>
        <v>0</v>
      </c>
      <c r="S24" s="31">
        <f>IF(E24=2,SUMIF(свод!B$14:B$25,'910.02'!B24,свод!I$14:I$25),0)</f>
        <v>0</v>
      </c>
      <c r="T24" s="31">
        <f>SUMIF(свод!B$14:B$25,'910.02'!B24,свод!P$14:P$25)</f>
        <v>0</v>
      </c>
      <c r="U24" s="31">
        <f>SUMIF(свод!B$14:B$25,'910.02'!B24,свод!AC$14:AC$25)</f>
        <v>0</v>
      </c>
      <c r="V24" s="30"/>
      <c r="W24" s="31">
        <f>SUMIF(свод!B$14:B$25,'910.02'!B24,свод!E$14:E$25)+SUMIF(свод!B$14:B$25,'910.02'!B24,свод!G$14:G$25)</f>
        <v>0</v>
      </c>
      <c r="X24" s="30"/>
      <c r="Y24" s="31">
        <f>SUMIF(свод!B$14:B$25,'910.02'!B24,свод!H$14:H$25)</f>
        <v>0</v>
      </c>
      <c r="Z24" s="31">
        <f>SUMIF(свод!B$14:B$25,'910.02'!B24,свод!L$14:L$25)</f>
        <v>0</v>
      </c>
      <c r="AA24" s="12"/>
      <c r="AB24" s="32">
        <f t="shared" si="0"/>
        <v>0</v>
      </c>
      <c r="AC24" s="38">
        <f t="shared" si="1"/>
        <v>0</v>
      </c>
      <c r="AD24" s="38">
        <f t="shared" si="2"/>
        <v>0</v>
      </c>
      <c r="AE24" s="38">
        <f t="shared" si="2"/>
        <v>0</v>
      </c>
      <c r="AF24" s="31">
        <f>SUMIF(свод!B$14:B$25,'910.02'!B24,свод!T$14:T$25)</f>
        <v>0</v>
      </c>
      <c r="AG24" s="31">
        <f>SUMIF(свод!B$14:B$25,'910.02'!B24,свод!V$14:V$25)</f>
        <v>0</v>
      </c>
      <c r="AH24" s="31">
        <f>SUMIF(свод!B$14:B$25,'910.02'!B24,свод!AB$14:AB$25)</f>
        <v>0</v>
      </c>
      <c r="AJ24" s="16"/>
    </row>
    <row r="25" spans="1:36" x14ac:dyDescent="0.2">
      <c r="A25" s="26">
        <v>11</v>
      </c>
      <c r="B25" s="26"/>
      <c r="C25" s="27"/>
      <c r="D25" s="42"/>
      <c r="E25" s="28"/>
      <c r="F25" s="28"/>
      <c r="G25" s="27"/>
      <c r="H25" s="40"/>
      <c r="I25" s="40"/>
      <c r="J25" s="39"/>
      <c r="K25" s="40"/>
      <c r="L25" s="40"/>
      <c r="M25" s="40"/>
      <c r="N25" s="40"/>
      <c r="O25" s="43"/>
      <c r="P25" s="29">
        <f>SUMIF(свод!B$14:B$25,'910.02'!B25,свод!AF$14:AF$25)</f>
        <v>0</v>
      </c>
      <c r="Q25" s="44"/>
      <c r="R25" s="31">
        <f>IF(E25=1,SUMIF(свод!B$14:B$25,'910.02'!B25,свод!I$14:I$25),0)</f>
        <v>0</v>
      </c>
      <c r="S25" s="31">
        <f>IF(E25=2,SUMIF(свод!B$14:B$25,'910.02'!B25,свод!I$14:I$25),0)</f>
        <v>0</v>
      </c>
      <c r="T25" s="31">
        <f>SUMIF(свод!B$14:B$25,'910.02'!B25,свод!P$14:P$25)</f>
        <v>0</v>
      </c>
      <c r="U25" s="31">
        <f>SUMIF(свод!B$14:B$25,'910.02'!B25,свод!AC$14:AC$25)</f>
        <v>0</v>
      </c>
      <c r="V25" s="30"/>
      <c r="W25" s="31">
        <f>SUMIF(свод!B$14:B$25,'910.02'!B25,свод!E$14:E$25)+SUMIF(свод!B$14:B$25,'910.02'!B25,свод!G$14:G$25)</f>
        <v>0</v>
      </c>
      <c r="X25" s="30"/>
      <c r="Y25" s="31">
        <f>SUMIF(свод!B$14:B$25,'910.02'!B25,свод!H$14:H$25)</f>
        <v>0</v>
      </c>
      <c r="Z25" s="31">
        <f>SUMIF(свод!B$14:B$25,'910.02'!B25,свод!L$14:L$25)</f>
        <v>0</v>
      </c>
      <c r="AA25" s="12"/>
      <c r="AB25" s="32">
        <f t="shared" si="0"/>
        <v>0</v>
      </c>
      <c r="AC25" s="38">
        <f t="shared" si="1"/>
        <v>0</v>
      </c>
      <c r="AD25" s="38">
        <f t="shared" si="2"/>
        <v>0</v>
      </c>
      <c r="AE25" s="38">
        <f t="shared" si="2"/>
        <v>0</v>
      </c>
      <c r="AF25" s="31">
        <f>SUMIF(свод!B$14:B$25,'910.02'!B25,свод!T$14:T$25)</f>
        <v>0</v>
      </c>
      <c r="AG25" s="31">
        <f>SUMIF(свод!B$14:B$25,'910.02'!B25,свод!V$14:V$25)</f>
        <v>0</v>
      </c>
      <c r="AH25" s="31">
        <f>SUMIF(свод!B$14:B$25,'910.02'!B25,свод!AB$14:AB$25)</f>
        <v>0</v>
      </c>
      <c r="AJ25" s="16"/>
    </row>
    <row r="26" spans="1:36" x14ac:dyDescent="0.2">
      <c r="A26" s="26">
        <v>12</v>
      </c>
      <c r="B26" s="26"/>
      <c r="C26" s="27"/>
      <c r="D26" s="42"/>
      <c r="E26" s="28"/>
      <c r="F26" s="28"/>
      <c r="G26" s="27"/>
      <c r="H26" s="40"/>
      <c r="I26" s="40"/>
      <c r="J26" s="39"/>
      <c r="K26" s="40"/>
      <c r="L26" s="40"/>
      <c r="M26" s="40"/>
      <c r="N26" s="40"/>
      <c r="O26" s="43"/>
      <c r="P26" s="29">
        <f>SUMIF(свод!B$14:B$25,'910.02'!B26,свод!AF$14:AF$25)</f>
        <v>0</v>
      </c>
      <c r="Q26" s="44"/>
      <c r="R26" s="31">
        <f>IF(E26=1,SUMIF(свод!B$14:B$25,'910.02'!B26,свод!I$14:I$25),0)</f>
        <v>0</v>
      </c>
      <c r="S26" s="31">
        <f>IF(E26=2,SUMIF(свод!B$14:B$25,'910.02'!B26,свод!I$14:I$25),0)</f>
        <v>0</v>
      </c>
      <c r="T26" s="31">
        <f>SUMIF(свод!B$14:B$25,'910.02'!B26,свод!P$14:P$25)</f>
        <v>0</v>
      </c>
      <c r="U26" s="31">
        <f>SUMIF(свод!B$14:B$25,'910.02'!B26,свод!AC$14:AC$25)</f>
        <v>0</v>
      </c>
      <c r="V26" s="30"/>
      <c r="W26" s="31">
        <f>SUMIF(свод!B$14:B$25,'910.02'!B26,свод!E$14:E$25)+SUMIF(свод!B$14:B$25,'910.02'!B26,свод!G$14:G$25)</f>
        <v>0</v>
      </c>
      <c r="X26" s="30"/>
      <c r="Y26" s="31">
        <f>SUMIF(свод!B$14:B$25,'910.02'!B26,свод!H$14:H$25)</f>
        <v>0</v>
      </c>
      <c r="Z26" s="31">
        <f>SUMIF(свод!B$14:B$25,'910.02'!B26,свод!L$14:L$25)</f>
        <v>0</v>
      </c>
      <c r="AA26" s="12"/>
      <c r="AB26" s="32">
        <f t="shared" si="0"/>
        <v>0</v>
      </c>
      <c r="AC26" s="38">
        <f t="shared" si="1"/>
        <v>0</v>
      </c>
      <c r="AD26" s="38">
        <f t="shared" si="2"/>
        <v>0</v>
      </c>
      <c r="AE26" s="38">
        <f t="shared" si="2"/>
        <v>0</v>
      </c>
      <c r="AF26" s="31">
        <f>SUMIF(свод!B$14:B$25,'910.02'!B26,свод!T$14:T$25)</f>
        <v>0</v>
      </c>
      <c r="AG26" s="31">
        <f>SUMIF(свод!B$14:B$25,'910.02'!B26,свод!V$14:V$25)</f>
        <v>0</v>
      </c>
      <c r="AH26" s="31">
        <f>SUMIF(свод!B$14:B$25,'910.02'!B26,свод!AB$14:AB$25)</f>
        <v>0</v>
      </c>
      <c r="AJ26" s="16"/>
    </row>
    <row r="27" spans="1:36" x14ac:dyDescent="0.2">
      <c r="A27" s="402" t="s">
        <v>72</v>
      </c>
      <c r="B27" s="403"/>
      <c r="C27" s="15"/>
      <c r="D27" s="15"/>
      <c r="E27" s="15"/>
      <c r="F27" s="15"/>
      <c r="G27" s="15"/>
      <c r="H27" s="15"/>
      <c r="I27" s="15"/>
      <c r="J27" s="15"/>
      <c r="K27" s="15"/>
      <c r="L27" s="15"/>
      <c r="M27" s="15"/>
      <c r="N27" s="15"/>
      <c r="O27" s="15"/>
      <c r="P27" s="33">
        <f>SUM(P15:P26)</f>
        <v>3800000</v>
      </c>
      <c r="Q27" s="34"/>
      <c r="R27" s="35">
        <f t="shared" ref="R27:AH27" si="3">SUM(R15:R26)</f>
        <v>0</v>
      </c>
      <c r="S27" s="35">
        <f t="shared" ref="S27" si="4">SUM(S15:S26)</f>
        <v>0</v>
      </c>
      <c r="T27" s="33">
        <f>SUM(T15:T26)</f>
        <v>110000</v>
      </c>
      <c r="U27" s="33">
        <f t="shared" si="3"/>
        <v>22000</v>
      </c>
      <c r="V27" s="33"/>
      <c r="W27" s="33">
        <f t="shared" si="3"/>
        <v>212500</v>
      </c>
      <c r="X27" s="33"/>
      <c r="Y27" s="33">
        <f t="shared" si="3"/>
        <v>0</v>
      </c>
      <c r="Z27" s="33">
        <f>SUM(Z15:Z26)</f>
        <v>420550</v>
      </c>
      <c r="AA27" s="33">
        <f t="shared" si="3"/>
        <v>0</v>
      </c>
      <c r="AB27" s="33">
        <f t="shared" si="3"/>
        <v>3247450</v>
      </c>
      <c r="AC27" s="33">
        <f t="shared" si="3"/>
        <v>420550</v>
      </c>
      <c r="AD27" s="33">
        <f t="shared" si="3"/>
        <v>110000</v>
      </c>
      <c r="AE27" s="33">
        <f t="shared" si="3"/>
        <v>22000</v>
      </c>
      <c r="AF27" s="33">
        <f t="shared" si="3"/>
        <v>34650</v>
      </c>
      <c r="AG27" s="33">
        <f t="shared" si="3"/>
        <v>0</v>
      </c>
      <c r="AH27" s="33">
        <f t="shared" si="3"/>
        <v>22000</v>
      </c>
      <c r="AJ27" s="16"/>
    </row>
    <row r="28" spans="1:36" x14ac:dyDescent="0.2">
      <c r="A28" s="22"/>
      <c r="B28" s="22"/>
      <c r="C28" s="22"/>
      <c r="D28" s="22"/>
      <c r="E28" s="22"/>
      <c r="F28" s="22"/>
      <c r="G28" s="22"/>
      <c r="H28" s="22"/>
      <c r="I28" s="22"/>
      <c r="J28" s="22"/>
      <c r="K28" s="22"/>
      <c r="L28" s="22"/>
      <c r="M28" s="22"/>
      <c r="N28" s="22"/>
      <c r="O28" s="22"/>
      <c r="P28" s="22"/>
    </row>
    <row r="29" spans="1:36" x14ac:dyDescent="0.2">
      <c r="A29" s="36" t="s">
        <v>62</v>
      </c>
    </row>
    <row r="31" spans="1:36" x14ac:dyDescent="0.2">
      <c r="A31" s="22"/>
      <c r="B31" s="22"/>
      <c r="C31" s="22"/>
      <c r="D31" s="22"/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2"/>
    </row>
    <row r="32" spans="1:36" x14ac:dyDescent="0.2">
      <c r="A32" s="36" t="s">
        <v>63</v>
      </c>
    </row>
    <row r="34" spans="1:24" x14ac:dyDescent="0.2">
      <c r="A34" s="22"/>
      <c r="B34" s="22"/>
      <c r="C34" s="22"/>
      <c r="D34" s="22"/>
      <c r="E34" s="22"/>
      <c r="F34" s="22"/>
      <c r="G34" s="22"/>
      <c r="H34" s="22"/>
      <c r="I34" s="22"/>
      <c r="J34" s="22"/>
      <c r="K34" s="22"/>
      <c r="L34" s="22"/>
      <c r="M34" s="22"/>
      <c r="N34" s="22"/>
      <c r="O34" s="22"/>
      <c r="P34" s="22"/>
    </row>
    <row r="35" spans="1:24" x14ac:dyDescent="0.2">
      <c r="A35" s="36" t="s">
        <v>73</v>
      </c>
    </row>
    <row r="37" spans="1:24" x14ac:dyDescent="0.2">
      <c r="A37" s="22"/>
      <c r="B37" s="22"/>
      <c r="C37" s="22"/>
      <c r="D37" s="25"/>
      <c r="E37" s="25"/>
      <c r="F37" s="25"/>
      <c r="G37" s="25"/>
      <c r="H37" s="25"/>
      <c r="I37" s="25"/>
      <c r="J37" s="25"/>
      <c r="K37" s="25"/>
      <c r="L37" s="25"/>
      <c r="M37" s="25"/>
      <c r="N37" s="25"/>
      <c r="O37" s="25"/>
    </row>
    <row r="38" spans="1:24" x14ac:dyDescent="0.2">
      <c r="A38" s="36" t="s">
        <v>64</v>
      </c>
    </row>
    <row r="39" spans="1:24" x14ac:dyDescent="0.2">
      <c r="A39" s="25"/>
      <c r="B39" s="25"/>
      <c r="C39" s="25"/>
      <c r="D39" s="25"/>
      <c r="E39" s="25"/>
      <c r="F39" s="25"/>
      <c r="G39" s="25"/>
      <c r="H39" s="25"/>
      <c r="I39" s="25"/>
      <c r="J39" s="25"/>
      <c r="K39" s="25"/>
      <c r="L39" s="25"/>
      <c r="M39" s="25"/>
      <c r="N39" s="25"/>
      <c r="O39" s="25"/>
      <c r="P39" s="25"/>
    </row>
    <row r="40" spans="1:24" x14ac:dyDescent="0.2">
      <c r="A40" s="406" t="s">
        <v>308</v>
      </c>
      <c r="B40" s="406"/>
      <c r="C40" s="406"/>
      <c r="D40" s="406"/>
      <c r="E40" s="406"/>
      <c r="F40" s="406"/>
      <c r="G40" s="406"/>
      <c r="H40" s="406"/>
      <c r="I40" s="406"/>
      <c r="J40" s="406"/>
      <c r="K40" s="406"/>
      <c r="L40" s="406"/>
      <c r="M40" s="406"/>
      <c r="N40" s="406"/>
      <c r="O40" s="406"/>
      <c r="P40" s="406"/>
      <c r="Q40" s="406"/>
      <c r="R40" s="406"/>
      <c r="S40" s="406"/>
      <c r="T40" s="406"/>
      <c r="U40" s="406"/>
      <c r="V40" s="406"/>
      <c r="W40" s="406"/>
      <c r="X40" s="406"/>
    </row>
    <row r="41" spans="1:24" x14ac:dyDescent="0.2">
      <c r="A41" s="406"/>
      <c r="B41" s="406"/>
      <c r="C41" s="406"/>
      <c r="D41" s="406"/>
      <c r="E41" s="406"/>
      <c r="F41" s="406"/>
      <c r="G41" s="406"/>
      <c r="H41" s="406"/>
      <c r="I41" s="406"/>
      <c r="J41" s="406"/>
      <c r="K41" s="406"/>
      <c r="L41" s="406"/>
      <c r="M41" s="406"/>
      <c r="N41" s="406"/>
      <c r="O41" s="406"/>
      <c r="P41" s="406"/>
      <c r="Q41" s="406"/>
      <c r="R41" s="406"/>
      <c r="S41" s="406"/>
      <c r="T41" s="406"/>
      <c r="U41" s="406"/>
      <c r="V41" s="406"/>
      <c r="W41" s="406"/>
      <c r="X41" s="406"/>
    </row>
    <row r="42" spans="1:24" x14ac:dyDescent="0.2">
      <c r="A42" s="16" t="s">
        <v>309</v>
      </c>
    </row>
    <row r="43" spans="1:24" x14ac:dyDescent="0.2">
      <c r="A43" s="406" t="s">
        <v>316</v>
      </c>
      <c r="B43" s="406"/>
      <c r="C43" s="406"/>
      <c r="D43" s="406"/>
      <c r="E43" s="406"/>
      <c r="F43" s="406"/>
      <c r="G43" s="406"/>
      <c r="H43" s="406"/>
      <c r="I43" s="406"/>
      <c r="J43" s="406"/>
      <c r="K43" s="406"/>
      <c r="L43" s="406"/>
      <c r="M43" s="406"/>
      <c r="N43" s="406"/>
      <c r="O43" s="406"/>
      <c r="P43" s="406"/>
      <c r="Q43" s="406"/>
      <c r="R43" s="406"/>
      <c r="S43" s="406"/>
      <c r="T43" s="406"/>
      <c r="U43" s="406"/>
      <c r="V43" s="406"/>
      <c r="W43" s="406"/>
      <c r="X43" s="406"/>
    </row>
    <row r="44" spans="1:24" x14ac:dyDescent="0.2">
      <c r="A44" s="406" t="s">
        <v>310</v>
      </c>
      <c r="B44" s="406"/>
      <c r="C44" s="406"/>
      <c r="D44" s="406"/>
      <c r="E44" s="406"/>
      <c r="F44" s="406"/>
      <c r="G44" s="406"/>
      <c r="H44" s="406"/>
      <c r="I44" s="406"/>
      <c r="J44" s="406"/>
      <c r="K44" s="406"/>
      <c r="L44" s="406"/>
      <c r="M44" s="406"/>
      <c r="N44" s="406"/>
      <c r="O44" s="406"/>
      <c r="P44" s="406"/>
      <c r="Q44" s="406"/>
      <c r="R44" s="406"/>
      <c r="S44" s="406"/>
      <c r="T44" s="406"/>
      <c r="U44" s="406"/>
      <c r="V44" s="406"/>
      <c r="W44" s="406"/>
      <c r="X44" s="406"/>
    </row>
    <row r="45" spans="1:24" x14ac:dyDescent="0.2">
      <c r="A45" s="405" t="s">
        <v>311</v>
      </c>
      <c r="B45" s="405"/>
      <c r="C45" s="405"/>
      <c r="D45" s="405"/>
      <c r="E45" s="405"/>
      <c r="F45" s="405"/>
      <c r="G45" s="405"/>
      <c r="H45" s="405"/>
      <c r="I45" s="405"/>
      <c r="J45" s="405"/>
      <c r="K45" s="405"/>
      <c r="L45" s="405"/>
      <c r="M45" s="37"/>
      <c r="N45" s="37"/>
      <c r="O45" s="37"/>
    </row>
    <row r="46" spans="1:24" x14ac:dyDescent="0.2">
      <c r="A46" s="405" t="s">
        <v>312</v>
      </c>
      <c r="B46" s="405"/>
      <c r="C46" s="405"/>
      <c r="D46" s="405"/>
      <c r="E46" s="405"/>
      <c r="F46" s="405"/>
      <c r="G46" s="405"/>
      <c r="H46" s="405"/>
      <c r="I46" s="405"/>
      <c r="J46" s="405"/>
      <c r="K46" s="405"/>
      <c r="L46" s="405"/>
      <c r="M46" s="37"/>
      <c r="N46" s="37"/>
      <c r="O46" s="37"/>
    </row>
    <row r="47" spans="1:24" x14ac:dyDescent="0.2">
      <c r="A47" s="405" t="s">
        <v>313</v>
      </c>
      <c r="B47" s="405"/>
      <c r="C47" s="405"/>
      <c r="D47" s="405"/>
      <c r="E47" s="405"/>
      <c r="F47" s="405"/>
      <c r="G47" s="405"/>
      <c r="H47" s="405"/>
      <c r="I47" s="405"/>
      <c r="J47" s="405"/>
      <c r="K47" s="405"/>
      <c r="L47" s="405"/>
      <c r="M47" s="37"/>
      <c r="N47" s="37"/>
      <c r="O47" s="37"/>
    </row>
    <row r="48" spans="1:24" x14ac:dyDescent="0.2">
      <c r="A48" s="405" t="s">
        <v>314</v>
      </c>
      <c r="B48" s="405"/>
      <c r="C48" s="405"/>
      <c r="D48" s="405"/>
      <c r="E48" s="405"/>
      <c r="F48" s="405"/>
      <c r="G48" s="405"/>
      <c r="H48" s="405"/>
      <c r="I48" s="405"/>
      <c r="J48" s="405"/>
      <c r="K48" s="405"/>
      <c r="L48" s="405"/>
      <c r="M48" s="37"/>
      <c r="N48" s="37"/>
      <c r="O48" s="37"/>
    </row>
    <row r="49" spans="1:15" x14ac:dyDescent="0.2">
      <c r="A49" s="405" t="s">
        <v>315</v>
      </c>
      <c r="B49" s="405"/>
      <c r="C49" s="405"/>
      <c r="D49" s="405"/>
      <c r="E49" s="405"/>
      <c r="F49" s="405"/>
      <c r="G49" s="405"/>
      <c r="H49" s="405"/>
      <c r="I49" s="405"/>
      <c r="J49" s="405"/>
      <c r="K49" s="405"/>
      <c r="L49" s="405"/>
      <c r="M49" s="37"/>
      <c r="N49" s="37"/>
      <c r="O49" s="37"/>
    </row>
  </sheetData>
  <mergeCells count="13">
    <mergeCell ref="A47:L47"/>
    <mergeCell ref="A48:L48"/>
    <mergeCell ref="A49:L49"/>
    <mergeCell ref="D4:P4"/>
    <mergeCell ref="A10:U10"/>
    <mergeCell ref="A27:B27"/>
    <mergeCell ref="H13:J13"/>
    <mergeCell ref="H14:J14"/>
    <mergeCell ref="A40:X41"/>
    <mergeCell ref="A45:L45"/>
    <mergeCell ref="A46:L46"/>
    <mergeCell ref="A43:X43"/>
    <mergeCell ref="A44:X4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15</vt:i4>
      </vt:variant>
      <vt:variant>
        <vt:lpstr>Именованные диапазоны</vt:lpstr>
      </vt:variant>
      <vt:variant>
        <vt:i4>2</vt:i4>
      </vt:variant>
    </vt:vector>
  </HeadingPairs>
  <TitlesOfParts>
    <vt:vector size="17" baseType="lpstr">
      <vt:lpstr>введ</vt:lpstr>
      <vt:lpstr>910.00</vt:lpstr>
      <vt:lpstr>дохТОО</vt:lpstr>
      <vt:lpstr>2.1</vt:lpstr>
      <vt:lpstr>2.2</vt:lpstr>
      <vt:lpstr>2.3</vt:lpstr>
      <vt:lpstr>2.4</vt:lpstr>
      <vt:lpstr>2.5</vt:lpstr>
      <vt:lpstr>2.6</vt:lpstr>
      <vt:lpstr>3гпх</vt:lpstr>
      <vt:lpstr>4гпх</vt:lpstr>
      <vt:lpstr>дивид</vt:lpstr>
      <vt:lpstr>свод</vt:lpstr>
      <vt:lpstr>910.01</vt:lpstr>
      <vt:lpstr>910.02</vt:lpstr>
      <vt:lpstr>введ!_SUB100</vt:lpstr>
      <vt:lpstr>введ!sub1002163307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komanchuk</dc:creator>
  <cp:lastModifiedBy>Юлия Сулейманова</cp:lastModifiedBy>
  <cp:lastPrinted>2021-05-02T08:59:47Z</cp:lastPrinted>
  <dcterms:created xsi:type="dcterms:W3CDTF">2012-08-23T02:55:12Z</dcterms:created>
  <dcterms:modified xsi:type="dcterms:W3CDTF">2021-08-03T08:56:45Z</dcterms:modified>
</cp:coreProperties>
</file>