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1840" windowHeight="9195" tabRatio="721"/>
  </bookViews>
  <sheets>
    <sheet name="введение" sheetId="12" r:id="rId1"/>
    <sheet name="№ 910 Декларация " sheetId="1" r:id="rId2"/>
    <sheet name="№ 1 доход ИП 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3 договора ГПХ" sheetId="68" r:id="rId10"/>
    <sheet name="№ 4 договора ГПХ" sheetId="69" r:id="rId11"/>
    <sheet name="910.01" sheetId="70" r:id="rId12"/>
  </sheets>
  <externalReferences>
    <externalReference r:id="rId13"/>
  </externalReferences>
  <definedNames>
    <definedName name="_SUB100" localSheetId="0">введение!$A$3</definedName>
    <definedName name="sub1002163307" localSheetId="0">введение!$A$4</definedName>
  </definedNames>
  <calcPr calcId="162913"/>
</workbook>
</file>

<file path=xl/calcChain.xml><?xml version="1.0" encoding="utf-8"?>
<calcChain xmlns="http://schemas.openxmlformats.org/spreadsheetml/2006/main">
  <c r="N26" i="70" l="1"/>
  <c r="N25" i="70"/>
  <c r="N24" i="70"/>
  <c r="N23" i="70"/>
  <c r="N22" i="70"/>
  <c r="N21" i="70"/>
  <c r="N20" i="70"/>
  <c r="N19" i="70"/>
  <c r="N18" i="70"/>
  <c r="N17" i="70"/>
  <c r="N16" i="70"/>
  <c r="N15" i="70"/>
  <c r="L26" i="70"/>
  <c r="L25" i="70"/>
  <c r="L24" i="70"/>
  <c r="L23" i="70"/>
  <c r="L22" i="70"/>
  <c r="L21" i="70"/>
  <c r="L20" i="70"/>
  <c r="L19" i="70"/>
  <c r="L18" i="70"/>
  <c r="L17" i="70"/>
  <c r="L16" i="70"/>
  <c r="L15" i="70"/>
  <c r="M123" i="1"/>
  <c r="M122" i="1"/>
  <c r="M121" i="1"/>
  <c r="D123" i="1"/>
  <c r="D122" i="1"/>
  <c r="D121" i="1"/>
  <c r="D118" i="1"/>
  <c r="D117" i="1"/>
  <c r="D116" i="1"/>
  <c r="M118" i="1"/>
  <c r="M117" i="1"/>
  <c r="M116" i="1"/>
  <c r="L26" i="68"/>
  <c r="L25" i="68"/>
  <c r="L24" i="68"/>
  <c r="L23" i="68"/>
  <c r="L22" i="68"/>
  <c r="L21" i="68"/>
  <c r="L20" i="68"/>
  <c r="L19" i="68"/>
  <c r="L18" i="68"/>
  <c r="L17" i="68"/>
  <c r="L16" i="68"/>
  <c r="K26" i="68"/>
  <c r="K25" i="68"/>
  <c r="K24" i="68"/>
  <c r="K23" i="68"/>
  <c r="K22" i="68"/>
  <c r="K21" i="68"/>
  <c r="K20" i="68"/>
  <c r="K19" i="68"/>
  <c r="K18" i="68"/>
  <c r="K17" i="68"/>
  <c r="K16" i="68"/>
  <c r="J15" i="68"/>
  <c r="L15" i="68" s="1"/>
  <c r="I26" i="68"/>
  <c r="I25" i="68"/>
  <c r="I24" i="68"/>
  <c r="I23" i="68"/>
  <c r="I22" i="68"/>
  <c r="I21" i="68"/>
  <c r="I20" i="68"/>
  <c r="I19" i="68"/>
  <c r="I18" i="68"/>
  <c r="I17" i="68"/>
  <c r="I16" i="68"/>
  <c r="I15" i="68"/>
  <c r="H27" i="68"/>
  <c r="G27" i="68"/>
  <c r="H26" i="68"/>
  <c r="G26" i="68"/>
  <c r="H25" i="68"/>
  <c r="G25" i="68"/>
  <c r="H24" i="68"/>
  <c r="G24" i="68"/>
  <c r="H23" i="68"/>
  <c r="G23" i="68"/>
  <c r="H22" i="68"/>
  <c r="G22" i="68"/>
  <c r="H21" i="68"/>
  <c r="G21" i="68"/>
  <c r="H20" i="68"/>
  <c r="G20" i="68"/>
  <c r="H19" i="68"/>
  <c r="G19" i="68"/>
  <c r="H18" i="68"/>
  <c r="G18" i="68"/>
  <c r="H17" i="68"/>
  <c r="G17" i="68"/>
  <c r="H16" i="68"/>
  <c r="G16" i="68"/>
  <c r="H15" i="68"/>
  <c r="G15" i="68"/>
  <c r="F25" i="66"/>
  <c r="F24" i="66"/>
  <c r="F23" i="66"/>
  <c r="F22" i="66"/>
  <c r="F21" i="66"/>
  <c r="F20" i="66"/>
  <c r="F19" i="66"/>
  <c r="F18" i="66"/>
  <c r="F17" i="66"/>
  <c r="F16" i="66"/>
  <c r="F15" i="66"/>
  <c r="F14" i="66"/>
  <c r="F25" i="65"/>
  <c r="F24" i="65"/>
  <c r="F23" i="65"/>
  <c r="F22" i="65"/>
  <c r="F21" i="65"/>
  <c r="F20" i="65"/>
  <c r="F19" i="65"/>
  <c r="F18" i="65"/>
  <c r="F17" i="65"/>
  <c r="F16" i="65"/>
  <c r="F15" i="65"/>
  <c r="F14" i="65"/>
  <c r="F25" i="3"/>
  <c r="F24" i="3"/>
  <c r="F23" i="3"/>
  <c r="F22" i="3"/>
  <c r="F21" i="3"/>
  <c r="F20" i="3"/>
  <c r="F19" i="3"/>
  <c r="F18" i="3"/>
  <c r="F17" i="3"/>
  <c r="F16" i="3"/>
  <c r="F15" i="3"/>
  <c r="F14" i="3"/>
  <c r="F25" i="64"/>
  <c r="F24" i="64"/>
  <c r="F23" i="64"/>
  <c r="F22" i="64"/>
  <c r="F21" i="64"/>
  <c r="F20" i="64"/>
  <c r="F19" i="64"/>
  <c r="F18" i="64"/>
  <c r="F17" i="64"/>
  <c r="F16" i="64"/>
  <c r="F15" i="64"/>
  <c r="F14" i="64"/>
  <c r="F25" i="63"/>
  <c r="F24" i="63"/>
  <c r="F23" i="63"/>
  <c r="F22" i="63"/>
  <c r="F21" i="63"/>
  <c r="F20" i="63"/>
  <c r="F19" i="63"/>
  <c r="F18" i="63"/>
  <c r="F17" i="63"/>
  <c r="F16" i="63"/>
  <c r="F15" i="63"/>
  <c r="F14" i="63"/>
  <c r="X25" i="66"/>
  <c r="X24" i="66"/>
  <c r="X23" i="66"/>
  <c r="X22" i="66"/>
  <c r="X21" i="66"/>
  <c r="X20" i="66"/>
  <c r="X19" i="66"/>
  <c r="X18" i="66"/>
  <c r="X17" i="66"/>
  <c r="X16" i="66"/>
  <c r="X15" i="66"/>
  <c r="X14" i="66"/>
  <c r="X25" i="65"/>
  <c r="X24" i="65"/>
  <c r="X23" i="65"/>
  <c r="X22" i="65"/>
  <c r="X21" i="65"/>
  <c r="X20" i="65"/>
  <c r="X19" i="65"/>
  <c r="X18" i="65"/>
  <c r="X17" i="65"/>
  <c r="X16" i="65"/>
  <c r="X15" i="65"/>
  <c r="X14" i="65"/>
  <c r="X25" i="3"/>
  <c r="X24" i="3"/>
  <c r="X23" i="3"/>
  <c r="X22" i="3"/>
  <c r="X21" i="3"/>
  <c r="X20" i="3"/>
  <c r="X19" i="3"/>
  <c r="X18" i="3"/>
  <c r="X17" i="3"/>
  <c r="X16" i="3"/>
  <c r="X15" i="3"/>
  <c r="X14" i="3"/>
  <c r="X25" i="64"/>
  <c r="X24" i="64"/>
  <c r="X23" i="64"/>
  <c r="X22" i="64"/>
  <c r="X21" i="64"/>
  <c r="X20" i="64"/>
  <c r="X19" i="64"/>
  <c r="X18" i="64"/>
  <c r="X17" i="64"/>
  <c r="X16" i="64"/>
  <c r="X15" i="64"/>
  <c r="X14" i="64"/>
  <c r="X25" i="63"/>
  <c r="X24" i="63"/>
  <c r="X23" i="63"/>
  <c r="X22" i="63"/>
  <c r="X21" i="63"/>
  <c r="X20" i="63"/>
  <c r="X19" i="63"/>
  <c r="X18" i="63"/>
  <c r="X17" i="63"/>
  <c r="X16" i="63"/>
  <c r="X15" i="63"/>
  <c r="X14" i="63"/>
  <c r="F25" i="60"/>
  <c r="F24" i="60"/>
  <c r="F23" i="60"/>
  <c r="F22" i="60"/>
  <c r="F21" i="60"/>
  <c r="F20" i="60"/>
  <c r="F19" i="60"/>
  <c r="F18" i="60"/>
  <c r="F17" i="60"/>
  <c r="F16" i="60"/>
  <c r="F15" i="60"/>
  <c r="X25" i="60"/>
  <c r="X24" i="60"/>
  <c r="X23" i="60"/>
  <c r="X22" i="60"/>
  <c r="X21" i="60"/>
  <c r="X20" i="60"/>
  <c r="X19" i="60"/>
  <c r="X18" i="60"/>
  <c r="X16" i="60"/>
  <c r="X15" i="60"/>
  <c r="X14" i="60"/>
  <c r="X17" i="60"/>
  <c r="K15" i="68" l="1"/>
  <c r="F7" i="70"/>
  <c r="R27" i="70"/>
  <c r="Q27" i="70"/>
  <c r="K27" i="70"/>
  <c r="J27" i="70"/>
  <c r="I27" i="70"/>
  <c r="H27" i="70"/>
  <c r="G27" i="70"/>
  <c r="F27" i="70"/>
  <c r="S26" i="70"/>
  <c r="P26" i="70"/>
  <c r="O26" i="70"/>
  <c r="S25" i="70"/>
  <c r="P25" i="70"/>
  <c r="O25" i="70"/>
  <c r="S24" i="70"/>
  <c r="P24" i="70"/>
  <c r="O24" i="70"/>
  <c r="S23" i="70"/>
  <c r="P23" i="70"/>
  <c r="O23" i="70"/>
  <c r="S22" i="70"/>
  <c r="P22" i="70"/>
  <c r="O22" i="70"/>
  <c r="S21" i="70"/>
  <c r="P21" i="70"/>
  <c r="O21" i="70"/>
  <c r="M20" i="70"/>
  <c r="O20" i="70" s="1"/>
  <c r="M19" i="70"/>
  <c r="O19" i="70" s="1"/>
  <c r="S18" i="70"/>
  <c r="P18" i="70"/>
  <c r="M18" i="70"/>
  <c r="S17" i="70"/>
  <c r="P17" i="70"/>
  <c r="M17" i="70"/>
  <c r="M16" i="70"/>
  <c r="S15" i="70"/>
  <c r="S27" i="70" s="1"/>
  <c r="P15" i="70"/>
  <c r="M15" i="70"/>
  <c r="G8" i="70"/>
  <c r="F8" i="70"/>
  <c r="O17" i="70" l="1"/>
  <c r="O16" i="70"/>
  <c r="P27" i="70"/>
  <c r="M27" i="70"/>
  <c r="O15" i="70"/>
  <c r="O18" i="70"/>
  <c r="L27" i="70"/>
  <c r="N27" i="70" l="1"/>
  <c r="O27" i="70"/>
  <c r="J25" i="66" l="1"/>
  <c r="J24" i="66"/>
  <c r="J23" i="66"/>
  <c r="J22" i="66"/>
  <c r="J21" i="66"/>
  <c r="J20" i="66"/>
  <c r="J19" i="66"/>
  <c r="J18" i="66"/>
  <c r="J16" i="66"/>
  <c r="J15" i="66"/>
  <c r="J17" i="66"/>
  <c r="J25" i="65"/>
  <c r="J24" i="65"/>
  <c r="J23" i="65"/>
  <c r="J22" i="65"/>
  <c r="J21" i="65"/>
  <c r="J20" i="65"/>
  <c r="J19" i="65"/>
  <c r="J18" i="65"/>
  <c r="J16" i="65"/>
  <c r="J15" i="65"/>
  <c r="J17" i="65"/>
  <c r="J25" i="3"/>
  <c r="J24" i="3"/>
  <c r="J23" i="3"/>
  <c r="J22" i="3"/>
  <c r="J21" i="3"/>
  <c r="J20" i="3"/>
  <c r="J19" i="3"/>
  <c r="J18" i="3"/>
  <c r="J16" i="3"/>
  <c r="J15" i="3"/>
  <c r="J17" i="3"/>
  <c r="J25" i="64"/>
  <c r="J24" i="64"/>
  <c r="J23" i="64"/>
  <c r="J22" i="64"/>
  <c r="J21" i="64"/>
  <c r="J20" i="64"/>
  <c r="J19" i="64"/>
  <c r="J18" i="64"/>
  <c r="J16" i="64"/>
  <c r="J15" i="64"/>
  <c r="J17" i="64"/>
  <c r="J25" i="63"/>
  <c r="J24" i="63"/>
  <c r="J23" i="63"/>
  <c r="J22" i="63"/>
  <c r="J21" i="63"/>
  <c r="J20" i="63"/>
  <c r="J19" i="63"/>
  <c r="J18" i="63"/>
  <c r="J16" i="63"/>
  <c r="J15" i="63"/>
  <c r="J17" i="63"/>
  <c r="J25" i="60"/>
  <c r="J24" i="60"/>
  <c r="J23" i="60"/>
  <c r="J22" i="60"/>
  <c r="J21" i="60"/>
  <c r="J20" i="60"/>
  <c r="J19" i="60"/>
  <c r="J18" i="60"/>
  <c r="J16" i="60"/>
  <c r="J15" i="60"/>
  <c r="J17" i="60"/>
  <c r="D14" i="69" l="1"/>
  <c r="G14" i="69" s="1"/>
  <c r="C14" i="69"/>
  <c r="T14" i="69" s="1"/>
  <c r="B14" i="69"/>
  <c r="D13" i="69"/>
  <c r="G13" i="69" s="1"/>
  <c r="C13" i="69"/>
  <c r="T13" i="69" s="1"/>
  <c r="B13" i="69"/>
  <c r="D12" i="69"/>
  <c r="G12" i="69" s="1"/>
  <c r="C12" i="69"/>
  <c r="T12" i="69" s="1"/>
  <c r="B12" i="69"/>
  <c r="D11" i="69"/>
  <c r="G11" i="69" s="1"/>
  <c r="C11" i="69"/>
  <c r="T11" i="69" s="1"/>
  <c r="B11" i="69"/>
  <c r="D10" i="69"/>
  <c r="G10" i="69" s="1"/>
  <c r="C10" i="69"/>
  <c r="T10" i="69" s="1"/>
  <c r="B10" i="69"/>
  <c r="D9" i="69"/>
  <c r="G9" i="69" s="1"/>
  <c r="C9" i="69"/>
  <c r="T9" i="69" s="1"/>
  <c r="B9" i="69"/>
  <c r="D8" i="69"/>
  <c r="G8" i="69" s="1"/>
  <c r="C8" i="69"/>
  <c r="T8" i="69" s="1"/>
  <c r="B8" i="69"/>
  <c r="D7" i="69"/>
  <c r="G7" i="69" s="1"/>
  <c r="C7" i="69"/>
  <c r="T7" i="69" s="1"/>
  <c r="B7" i="69"/>
  <c r="D6" i="69"/>
  <c r="G6" i="69" s="1"/>
  <c r="C6" i="69"/>
  <c r="T6" i="69" s="1"/>
  <c r="B6" i="69"/>
  <c r="D5" i="69"/>
  <c r="G5" i="69" s="1"/>
  <c r="C5" i="69"/>
  <c r="T5" i="69" s="1"/>
  <c r="B5" i="69"/>
  <c r="D4" i="69"/>
  <c r="G4" i="69" s="1"/>
  <c r="C4" i="69"/>
  <c r="T4" i="69" s="1"/>
  <c r="B4" i="69"/>
  <c r="D3" i="69"/>
  <c r="G3" i="69" s="1"/>
  <c r="C3" i="69"/>
  <c r="T3" i="69" s="1"/>
  <c r="B3" i="69"/>
  <c r="H26" i="66"/>
  <c r="G26" i="66"/>
  <c r="H26" i="65"/>
  <c r="G26" i="65"/>
  <c r="H26" i="3"/>
  <c r="G26" i="3"/>
  <c r="H26" i="64"/>
  <c r="G26" i="64"/>
  <c r="H26" i="63"/>
  <c r="G26" i="63"/>
  <c r="G26" i="60"/>
  <c r="M91" i="1"/>
  <c r="M90" i="1"/>
  <c r="M89" i="1"/>
  <c r="D91" i="1"/>
  <c r="D90" i="1"/>
  <c r="D89" i="1"/>
  <c r="C23" i="12"/>
  <c r="N14" i="69" l="1"/>
  <c r="J14" i="69"/>
  <c r="R14" i="69"/>
  <c r="N13" i="69"/>
  <c r="J13" i="69"/>
  <c r="R13" i="69"/>
  <c r="F13" i="69"/>
  <c r="L13" i="69"/>
  <c r="P13" i="69"/>
  <c r="F14" i="69"/>
  <c r="L14" i="69"/>
  <c r="P14" i="69"/>
  <c r="F4" i="69"/>
  <c r="F6" i="69"/>
  <c r="F8" i="69"/>
  <c r="F10" i="69"/>
  <c r="F12" i="69"/>
  <c r="N4" i="69"/>
  <c r="N6" i="69"/>
  <c r="N8" i="69"/>
  <c r="N10" i="69"/>
  <c r="N12" i="69"/>
  <c r="L4" i="69"/>
  <c r="L6" i="69"/>
  <c r="L8" i="69"/>
  <c r="L10" i="69"/>
  <c r="L12" i="69"/>
  <c r="J4" i="69"/>
  <c r="J6" i="69"/>
  <c r="J8" i="69"/>
  <c r="J10" i="69"/>
  <c r="J12" i="69"/>
  <c r="P4" i="69"/>
  <c r="P6" i="69"/>
  <c r="P8" i="69"/>
  <c r="P10" i="69"/>
  <c r="P12" i="69"/>
  <c r="R4" i="69"/>
  <c r="R6" i="69"/>
  <c r="R8" i="69"/>
  <c r="R10" i="69"/>
  <c r="R12" i="69"/>
  <c r="F3" i="69"/>
  <c r="F5" i="69"/>
  <c r="F7" i="69"/>
  <c r="F9" i="69"/>
  <c r="F11" i="69"/>
  <c r="N3" i="69"/>
  <c r="N5" i="69"/>
  <c r="N7" i="69"/>
  <c r="N9" i="69"/>
  <c r="N11" i="69"/>
  <c r="L3" i="69"/>
  <c r="L5" i="69"/>
  <c r="L7" i="69"/>
  <c r="L9" i="69"/>
  <c r="L11" i="69"/>
  <c r="J3" i="69"/>
  <c r="J5" i="69"/>
  <c r="J7" i="69"/>
  <c r="J9" i="69"/>
  <c r="J11" i="69"/>
  <c r="P3" i="69"/>
  <c r="P5" i="69"/>
  <c r="P7" i="69"/>
  <c r="P9" i="69"/>
  <c r="P11" i="69"/>
  <c r="R3" i="69"/>
  <c r="R5" i="69"/>
  <c r="R7" i="69"/>
  <c r="R9" i="69"/>
  <c r="R11" i="69"/>
  <c r="S2" i="69"/>
  <c r="T2" i="69" s="1"/>
  <c r="Q2" i="69"/>
  <c r="R2" i="69" s="1"/>
  <c r="O2" i="69"/>
  <c r="P2" i="69" s="1"/>
  <c r="M2" i="69"/>
  <c r="N2" i="69" s="1"/>
  <c r="K2" i="69"/>
  <c r="L2" i="69" s="1"/>
  <c r="I2" i="69"/>
  <c r="J2" i="69" s="1"/>
  <c r="K23" i="66"/>
  <c r="K20" i="66"/>
  <c r="K17" i="66"/>
  <c r="K14" i="66"/>
  <c r="K23" i="65"/>
  <c r="K20" i="65"/>
  <c r="K17" i="65"/>
  <c r="K14" i="65"/>
  <c r="K23" i="3"/>
  <c r="K20" i="3"/>
  <c r="K17" i="3"/>
  <c r="K14" i="3"/>
  <c r="K23" i="64"/>
  <c r="K20" i="64"/>
  <c r="K17" i="64"/>
  <c r="K14" i="64"/>
  <c r="K23" i="63"/>
  <c r="K20" i="63"/>
  <c r="K17" i="63"/>
  <c r="K14" i="63"/>
  <c r="K23" i="60"/>
  <c r="K20" i="60"/>
  <c r="K17" i="60"/>
  <c r="K14" i="60"/>
  <c r="L15" i="69" l="1"/>
  <c r="N15" i="69"/>
  <c r="E15" i="69"/>
  <c r="D15" i="69"/>
  <c r="H14" i="69"/>
  <c r="H13" i="69"/>
  <c r="H12" i="69"/>
  <c r="H11" i="69"/>
  <c r="H10" i="69"/>
  <c r="H9" i="69"/>
  <c r="H8" i="69"/>
  <c r="H7" i="69"/>
  <c r="H6" i="69"/>
  <c r="H5" i="69"/>
  <c r="H4" i="69"/>
  <c r="H3" i="69"/>
  <c r="J15" i="69" l="1"/>
  <c r="O3" i="69"/>
  <c r="Q3" i="69"/>
  <c r="M3" i="69"/>
  <c r="K3" i="69"/>
  <c r="I3" i="69"/>
  <c r="S3" i="69"/>
  <c r="S5" i="69"/>
  <c r="O5" i="69"/>
  <c r="M5" i="69"/>
  <c r="K5" i="69"/>
  <c r="I5" i="69"/>
  <c r="Q5" i="69"/>
  <c r="S7" i="69"/>
  <c r="O7" i="69"/>
  <c r="M7" i="69"/>
  <c r="K7" i="69"/>
  <c r="I7" i="69"/>
  <c r="Q7" i="69"/>
  <c r="S9" i="69"/>
  <c r="O9" i="69"/>
  <c r="M9" i="69"/>
  <c r="K9" i="69"/>
  <c r="I9" i="69"/>
  <c r="Q9" i="69"/>
  <c r="Q12" i="69"/>
  <c r="S12" i="69"/>
  <c r="O12" i="69"/>
  <c r="M12" i="69"/>
  <c r="K12" i="69"/>
  <c r="I12" i="69"/>
  <c r="Q4" i="69"/>
  <c r="S4" i="69"/>
  <c r="O4" i="69"/>
  <c r="M4" i="69"/>
  <c r="K4" i="69"/>
  <c r="I4" i="69"/>
  <c r="Q6" i="69"/>
  <c r="S6" i="69"/>
  <c r="O6" i="69"/>
  <c r="M6" i="69"/>
  <c r="K6" i="69"/>
  <c r="I6" i="69"/>
  <c r="Q8" i="69"/>
  <c r="S8" i="69"/>
  <c r="O8" i="69"/>
  <c r="M8" i="69"/>
  <c r="K8" i="69"/>
  <c r="I8" i="69"/>
  <c r="Q10" i="69"/>
  <c r="S10" i="69"/>
  <c r="O10" i="69"/>
  <c r="M10" i="69"/>
  <c r="K10" i="69"/>
  <c r="I10" i="69"/>
  <c r="S11" i="69"/>
  <c r="O11" i="69"/>
  <c r="M11" i="69"/>
  <c r="K11" i="69"/>
  <c r="I11" i="69"/>
  <c r="Q11" i="69"/>
  <c r="S13" i="69"/>
  <c r="O13" i="69"/>
  <c r="M13" i="69"/>
  <c r="K13" i="69"/>
  <c r="I13" i="69"/>
  <c r="Q13" i="69"/>
  <c r="Q14" i="69"/>
  <c r="S14" i="69"/>
  <c r="O14" i="69"/>
  <c r="M14" i="69"/>
  <c r="K14" i="69"/>
  <c r="I14" i="69"/>
  <c r="F15" i="69"/>
  <c r="M81" i="1"/>
  <c r="M86" i="1" s="1"/>
  <c r="M80" i="1"/>
  <c r="M85" i="1" s="1"/>
  <c r="M79" i="1"/>
  <c r="M84" i="1" s="1"/>
  <c r="D81" i="1"/>
  <c r="D86" i="1" s="1"/>
  <c r="D80" i="1"/>
  <c r="D85" i="1" s="1"/>
  <c r="D79" i="1"/>
  <c r="D84" i="1" s="1"/>
  <c r="M71" i="1"/>
  <c r="M76" i="1" s="1"/>
  <c r="M70" i="1"/>
  <c r="M75" i="1" s="1"/>
  <c r="M69" i="1"/>
  <c r="M74" i="1" s="1"/>
  <c r="D71" i="1"/>
  <c r="D76" i="1" s="1"/>
  <c r="D70" i="1"/>
  <c r="D75" i="1" s="1"/>
  <c r="D69" i="1"/>
  <c r="D74" i="1" s="1"/>
  <c r="T15" i="69" l="1"/>
  <c r="R15" i="69"/>
  <c r="P15" i="69"/>
  <c r="S15" i="69"/>
  <c r="O15" i="69"/>
  <c r="K15" i="69"/>
  <c r="I15" i="69"/>
  <c r="Q15" i="69"/>
  <c r="M15" i="69"/>
  <c r="F20" i="2"/>
  <c r="G20" i="2"/>
  <c r="M16" i="68" l="1"/>
  <c r="M17" i="68"/>
  <c r="M18" i="68"/>
  <c r="M19" i="68"/>
  <c r="M20" i="68"/>
  <c r="M21" i="68"/>
  <c r="M22" i="68"/>
  <c r="M23" i="68"/>
  <c r="M24" i="68"/>
  <c r="M25" i="68"/>
  <c r="M26" i="68"/>
  <c r="M15" i="68"/>
  <c r="J16" i="68" l="1"/>
  <c r="J17" i="68"/>
  <c r="J18" i="68"/>
  <c r="J19" i="68"/>
  <c r="J20" i="68"/>
  <c r="J21" i="68"/>
  <c r="J22" i="68"/>
  <c r="J23" i="68"/>
  <c r="J24" i="68"/>
  <c r="J25" i="68"/>
  <c r="J26" i="68"/>
  <c r="F27" i="68"/>
  <c r="E27" i="68"/>
  <c r="Y26" i="68"/>
  <c r="W25" i="68"/>
  <c r="X24" i="68"/>
  <c r="O23" i="68"/>
  <c r="Y22" i="68"/>
  <c r="W21" i="68"/>
  <c r="X20" i="68"/>
  <c r="Y19" i="68"/>
  <c r="Y18" i="68"/>
  <c r="W17" i="68"/>
  <c r="X16" i="68"/>
  <c r="Y15" i="68"/>
  <c r="X15" i="68"/>
  <c r="S15" i="68"/>
  <c r="R15" i="68"/>
  <c r="Q15" i="68"/>
  <c r="P15" i="68"/>
  <c r="X14" i="68"/>
  <c r="V14" i="68"/>
  <c r="T14" i="68"/>
  <c r="R14" i="68"/>
  <c r="P14" i="68"/>
  <c r="N14" i="68"/>
  <c r="I8" i="68"/>
  <c r="F8" i="68"/>
  <c r="E7" i="68"/>
  <c r="V25" i="66"/>
  <c r="U25" i="66"/>
  <c r="V24" i="66"/>
  <c r="U24" i="66"/>
  <c r="V23" i="66"/>
  <c r="U23" i="66"/>
  <c r="V22" i="66"/>
  <c r="U22" i="66"/>
  <c r="V21" i="66"/>
  <c r="U21" i="66"/>
  <c r="V20" i="66"/>
  <c r="U20" i="66"/>
  <c r="V19" i="66"/>
  <c r="U19" i="66"/>
  <c r="V18" i="66"/>
  <c r="U18" i="66"/>
  <c r="V17" i="66"/>
  <c r="U17" i="66"/>
  <c r="V16" i="66"/>
  <c r="U16" i="66"/>
  <c r="V15" i="66"/>
  <c r="U15" i="66"/>
  <c r="V14" i="66"/>
  <c r="U14" i="66"/>
  <c r="V25" i="65"/>
  <c r="U25" i="65"/>
  <c r="V24" i="65"/>
  <c r="U24" i="65"/>
  <c r="V23" i="65"/>
  <c r="U23" i="65"/>
  <c r="V22" i="65"/>
  <c r="U22" i="65"/>
  <c r="V21" i="65"/>
  <c r="U21" i="65"/>
  <c r="V20" i="65"/>
  <c r="U20" i="65"/>
  <c r="V19" i="65"/>
  <c r="U19" i="65"/>
  <c r="V18" i="65"/>
  <c r="U18" i="65"/>
  <c r="V17" i="65"/>
  <c r="U17" i="65"/>
  <c r="V16" i="65"/>
  <c r="U16" i="65"/>
  <c r="V15" i="65"/>
  <c r="U15" i="65"/>
  <c r="V14" i="65"/>
  <c r="U14" i="65"/>
  <c r="V25" i="3"/>
  <c r="U25" i="3"/>
  <c r="V24" i="3"/>
  <c r="U24" i="3"/>
  <c r="V23" i="3"/>
  <c r="U23" i="3"/>
  <c r="V22" i="3"/>
  <c r="U22" i="3"/>
  <c r="V21" i="3"/>
  <c r="U21" i="3"/>
  <c r="V20" i="3"/>
  <c r="U20" i="3"/>
  <c r="V19" i="3"/>
  <c r="U19" i="3"/>
  <c r="V18" i="3"/>
  <c r="U18" i="3"/>
  <c r="V17" i="3"/>
  <c r="U17" i="3"/>
  <c r="V16" i="3"/>
  <c r="U16" i="3"/>
  <c r="V15" i="3"/>
  <c r="U15" i="3"/>
  <c r="V14" i="3"/>
  <c r="U14" i="3"/>
  <c r="V25" i="64"/>
  <c r="U25" i="64"/>
  <c r="V24" i="64"/>
  <c r="U24" i="64"/>
  <c r="V23" i="64"/>
  <c r="U23" i="64"/>
  <c r="V22" i="64"/>
  <c r="U22" i="64"/>
  <c r="V21" i="64"/>
  <c r="U21" i="64"/>
  <c r="V20" i="64"/>
  <c r="U20" i="64"/>
  <c r="V19" i="64"/>
  <c r="U19" i="64"/>
  <c r="V18" i="64"/>
  <c r="U18" i="64"/>
  <c r="V17" i="64"/>
  <c r="U17" i="64"/>
  <c r="V16" i="64"/>
  <c r="U16" i="64"/>
  <c r="V15" i="64"/>
  <c r="U15" i="64"/>
  <c r="V14" i="64"/>
  <c r="U14" i="64"/>
  <c r="V25" i="63"/>
  <c r="U25" i="63"/>
  <c r="V24" i="63"/>
  <c r="U24" i="63"/>
  <c r="V23" i="63"/>
  <c r="U23" i="63"/>
  <c r="V22" i="63"/>
  <c r="U22" i="63"/>
  <c r="V21" i="63"/>
  <c r="U21" i="63"/>
  <c r="V20" i="63"/>
  <c r="U20" i="63"/>
  <c r="V19" i="63"/>
  <c r="U19" i="63"/>
  <c r="V18" i="63"/>
  <c r="U18" i="63"/>
  <c r="V17" i="63"/>
  <c r="U17" i="63"/>
  <c r="V16" i="63"/>
  <c r="U16" i="63"/>
  <c r="V15" i="63"/>
  <c r="U15" i="63"/>
  <c r="V14" i="63"/>
  <c r="U14" i="63"/>
  <c r="Q16" i="68" l="1"/>
  <c r="Y23" i="68"/>
  <c r="O19" i="68"/>
  <c r="S18" i="68"/>
  <c r="O18" i="68"/>
  <c r="V18" i="68"/>
  <c r="V19" i="68"/>
  <c r="O22" i="68"/>
  <c r="V22" i="68"/>
  <c r="V23" i="68"/>
  <c r="O26" i="68"/>
  <c r="V26" i="68"/>
  <c r="P18" i="68"/>
  <c r="X18" i="68"/>
  <c r="N19" i="68"/>
  <c r="W19" i="68"/>
  <c r="P22" i="68"/>
  <c r="X22" i="68"/>
  <c r="N23" i="68"/>
  <c r="W23" i="68"/>
  <c r="P26" i="68"/>
  <c r="X26" i="68"/>
  <c r="S22" i="68"/>
  <c r="S26" i="68"/>
  <c r="N18" i="68"/>
  <c r="T18" i="68"/>
  <c r="R19" i="68"/>
  <c r="N22" i="68"/>
  <c r="T22" i="68"/>
  <c r="R23" i="68"/>
  <c r="N26" i="68"/>
  <c r="T26" i="68"/>
  <c r="P17" i="68"/>
  <c r="P21" i="68"/>
  <c r="X17" i="68"/>
  <c r="R18" i="68"/>
  <c r="W18" i="68"/>
  <c r="S19" i="68"/>
  <c r="X21" i="68"/>
  <c r="R22" i="68"/>
  <c r="W22" i="68"/>
  <c r="S23" i="68"/>
  <c r="X25" i="68"/>
  <c r="R26" i="68"/>
  <c r="W26" i="68"/>
  <c r="P25" i="68"/>
  <c r="T17" i="68"/>
  <c r="T21" i="68"/>
  <c r="T25" i="68"/>
  <c r="O16" i="68"/>
  <c r="V15" i="68"/>
  <c r="O15" i="68"/>
  <c r="U16" i="68"/>
  <c r="Y16" i="68"/>
  <c r="Q20" i="68"/>
  <c r="Y20" i="68"/>
  <c r="Q24" i="68"/>
  <c r="N16" i="68"/>
  <c r="R16" i="68"/>
  <c r="V16" i="68"/>
  <c r="Q17" i="68"/>
  <c r="N20" i="68"/>
  <c r="Q21" i="68"/>
  <c r="U21" i="68"/>
  <c r="Y21" i="68"/>
  <c r="N24" i="68"/>
  <c r="R24" i="68"/>
  <c r="V24" i="68"/>
  <c r="Q25" i="68"/>
  <c r="U25" i="68"/>
  <c r="Y25" i="68"/>
  <c r="I27" i="68"/>
  <c r="S16" i="68"/>
  <c r="W16" i="68"/>
  <c r="N17" i="68"/>
  <c r="R17" i="68"/>
  <c r="V17" i="68"/>
  <c r="Q18" i="68"/>
  <c r="U18" i="68"/>
  <c r="P19" i="68"/>
  <c r="T19" i="68"/>
  <c r="X19" i="68"/>
  <c r="O20" i="68"/>
  <c r="S20" i="68"/>
  <c r="W20" i="68"/>
  <c r="N21" i="68"/>
  <c r="R21" i="68"/>
  <c r="V21" i="68"/>
  <c r="Q22" i="68"/>
  <c r="U22" i="68"/>
  <c r="P23" i="68"/>
  <c r="T23" i="68"/>
  <c r="X23" i="68"/>
  <c r="O24" i="68"/>
  <c r="S24" i="68"/>
  <c r="W24" i="68"/>
  <c r="N25" i="68"/>
  <c r="R25" i="68"/>
  <c r="V25" i="68"/>
  <c r="Q26" i="68"/>
  <c r="U26" i="68"/>
  <c r="U20" i="68"/>
  <c r="U24" i="68"/>
  <c r="Y24" i="68"/>
  <c r="U17" i="68"/>
  <c r="Y17" i="68"/>
  <c r="R20" i="68"/>
  <c r="V20" i="68"/>
  <c r="P16" i="68"/>
  <c r="T16" i="68"/>
  <c r="O17" i="68"/>
  <c r="S17" i="68"/>
  <c r="Q19" i="68"/>
  <c r="U19" i="68"/>
  <c r="P20" i="68"/>
  <c r="T20" i="68"/>
  <c r="O21" i="68"/>
  <c r="S21" i="68"/>
  <c r="Q23" i="68"/>
  <c r="U23" i="68"/>
  <c r="P24" i="68"/>
  <c r="T24" i="68"/>
  <c r="O25" i="68"/>
  <c r="S25" i="68"/>
  <c r="K27" i="68" l="1"/>
  <c r="T15" i="68"/>
  <c r="T27" i="68" s="1"/>
  <c r="N15" i="68"/>
  <c r="N27" i="68" s="1"/>
  <c r="W15" i="68"/>
  <c r="W27" i="68" s="1"/>
  <c r="U15" i="68"/>
  <c r="U27" i="68" s="1"/>
  <c r="X27" i="68"/>
  <c r="Y27" i="68"/>
  <c r="P27" i="68"/>
  <c r="Q27" i="68"/>
  <c r="R27" i="68"/>
  <c r="S27" i="68"/>
  <c r="O27" i="68"/>
  <c r="L27" i="68"/>
  <c r="V27" i="68"/>
  <c r="M134" i="1"/>
  <c r="M129" i="1"/>
  <c r="D8" i="66"/>
  <c r="D8" i="65"/>
  <c r="D9" i="3"/>
  <c r="D9" i="64"/>
  <c r="W26" i="66"/>
  <c r="T26" i="66"/>
  <c r="P26" i="66"/>
  <c r="N26" i="66"/>
  <c r="L26" i="66"/>
  <c r="D26" i="66"/>
  <c r="M25" i="66"/>
  <c r="O25" i="66" s="1"/>
  <c r="M24" i="66"/>
  <c r="O24" i="66" s="1"/>
  <c r="M23" i="66"/>
  <c r="O23" i="66" s="1"/>
  <c r="M22" i="66"/>
  <c r="O22" i="66" s="1"/>
  <c r="M21" i="66"/>
  <c r="O21" i="66" s="1"/>
  <c r="M20" i="66"/>
  <c r="O20" i="66" s="1"/>
  <c r="E20" i="66" s="1"/>
  <c r="I20" i="66" s="1"/>
  <c r="M19" i="66"/>
  <c r="O19" i="66" s="1"/>
  <c r="M18" i="66"/>
  <c r="O18" i="66" s="1"/>
  <c r="E18" i="66" s="1"/>
  <c r="I18" i="66" s="1"/>
  <c r="M17" i="66"/>
  <c r="O17" i="66" s="1"/>
  <c r="M16" i="66"/>
  <c r="O16" i="66" s="1"/>
  <c r="M15" i="66"/>
  <c r="M14" i="66"/>
  <c r="O14" i="66" s="1"/>
  <c r="W26" i="65"/>
  <c r="T26" i="65"/>
  <c r="P26" i="65"/>
  <c r="N26" i="65"/>
  <c r="L26" i="65"/>
  <c r="D26" i="65"/>
  <c r="M25" i="65"/>
  <c r="O25" i="65" s="1"/>
  <c r="M24" i="65"/>
  <c r="O24" i="65" s="1"/>
  <c r="E24" i="65" s="1"/>
  <c r="I24" i="65" s="1"/>
  <c r="M23" i="65"/>
  <c r="O23" i="65" s="1"/>
  <c r="O22" i="65"/>
  <c r="M22" i="65"/>
  <c r="M21" i="65"/>
  <c r="O21" i="65" s="1"/>
  <c r="M20" i="65"/>
  <c r="O20" i="65" s="1"/>
  <c r="M19" i="65"/>
  <c r="O19" i="65" s="1"/>
  <c r="M18" i="65"/>
  <c r="O18" i="65" s="1"/>
  <c r="M17" i="65"/>
  <c r="O17" i="65" s="1"/>
  <c r="M16" i="65"/>
  <c r="O16" i="65" s="1"/>
  <c r="E16" i="65" s="1"/>
  <c r="M15" i="65"/>
  <c r="M14" i="65"/>
  <c r="O14" i="65" s="1"/>
  <c r="W26" i="3"/>
  <c r="T26" i="3"/>
  <c r="P26" i="3"/>
  <c r="N26" i="3"/>
  <c r="L26" i="3"/>
  <c r="D26" i="3"/>
  <c r="M25" i="3"/>
  <c r="O25" i="3" s="1"/>
  <c r="M24" i="3"/>
  <c r="O24" i="3" s="1"/>
  <c r="E24" i="3" s="1"/>
  <c r="I24" i="3" s="1"/>
  <c r="M23" i="3"/>
  <c r="O23" i="3" s="1"/>
  <c r="M22" i="3"/>
  <c r="O22" i="3" s="1"/>
  <c r="M21" i="3"/>
  <c r="O21" i="3" s="1"/>
  <c r="M20" i="3"/>
  <c r="O20" i="3" s="1"/>
  <c r="M19" i="3"/>
  <c r="O19" i="3" s="1"/>
  <c r="M18" i="3"/>
  <c r="O18" i="3" s="1"/>
  <c r="M17" i="3"/>
  <c r="O17" i="3" s="1"/>
  <c r="M16" i="3"/>
  <c r="O16" i="3" s="1"/>
  <c r="E16" i="3" s="1"/>
  <c r="M15" i="3"/>
  <c r="M14" i="3"/>
  <c r="O14" i="3" s="1"/>
  <c r="W26" i="64"/>
  <c r="T26" i="64"/>
  <c r="P26" i="64"/>
  <c r="N26" i="64"/>
  <c r="L26" i="64"/>
  <c r="D26" i="64"/>
  <c r="M25" i="64"/>
  <c r="O25" i="64" s="1"/>
  <c r="M24" i="64"/>
  <c r="O24" i="64" s="1"/>
  <c r="M23" i="64"/>
  <c r="O23" i="64" s="1"/>
  <c r="M22" i="64"/>
  <c r="O22" i="64" s="1"/>
  <c r="E22" i="64" s="1"/>
  <c r="I22" i="64" s="1"/>
  <c r="M21" i="64"/>
  <c r="O21" i="64" s="1"/>
  <c r="M20" i="64"/>
  <c r="O20" i="64" s="1"/>
  <c r="M19" i="64"/>
  <c r="O19" i="64" s="1"/>
  <c r="M18" i="64"/>
  <c r="O18" i="64" s="1"/>
  <c r="E18" i="64" s="1"/>
  <c r="I18" i="64" s="1"/>
  <c r="M17" i="64"/>
  <c r="O17" i="64" s="1"/>
  <c r="M16" i="64"/>
  <c r="O16" i="64" s="1"/>
  <c r="M15" i="64"/>
  <c r="O15" i="64" s="1"/>
  <c r="U26" i="64"/>
  <c r="M14" i="64"/>
  <c r="W26" i="63"/>
  <c r="T26" i="63"/>
  <c r="P26" i="63"/>
  <c r="N26" i="63"/>
  <c r="L26" i="63"/>
  <c r="D26" i="63"/>
  <c r="M25" i="63"/>
  <c r="O25" i="63" s="1"/>
  <c r="M24" i="63"/>
  <c r="O24" i="63" s="1"/>
  <c r="M23" i="63"/>
  <c r="O23" i="63" s="1"/>
  <c r="M22" i="63"/>
  <c r="O22" i="63" s="1"/>
  <c r="M21" i="63"/>
  <c r="O21" i="63" s="1"/>
  <c r="M20" i="63"/>
  <c r="O20" i="63" s="1"/>
  <c r="M19" i="63"/>
  <c r="O19" i="63" s="1"/>
  <c r="M18" i="63"/>
  <c r="O18" i="63" s="1"/>
  <c r="M17" i="63"/>
  <c r="O17" i="63" s="1"/>
  <c r="M16" i="63"/>
  <c r="O16" i="63" s="1"/>
  <c r="M15" i="63"/>
  <c r="O15" i="63" s="1"/>
  <c r="M14" i="63"/>
  <c r="M18" i="60"/>
  <c r="M19" i="60"/>
  <c r="M20" i="60"/>
  <c r="M21" i="60"/>
  <c r="M22" i="60"/>
  <c r="M23" i="60"/>
  <c r="M24" i="60"/>
  <c r="M25" i="60"/>
  <c r="M15" i="60"/>
  <c r="M16" i="60"/>
  <c r="M17" i="60"/>
  <c r="M14" i="60"/>
  <c r="C19" i="12"/>
  <c r="I16" i="65" l="1"/>
  <c r="I16" i="3"/>
  <c r="Q17" i="66"/>
  <c r="R17" i="66" s="1"/>
  <c r="S17" i="66" s="1"/>
  <c r="E17" i="66"/>
  <c r="I17" i="66" s="1"/>
  <c r="Q19" i="66"/>
  <c r="R19" i="66" s="1"/>
  <c r="S19" i="66" s="1"/>
  <c r="E19" i="66"/>
  <c r="I19" i="66" s="1"/>
  <c r="Q21" i="66"/>
  <c r="R21" i="66" s="1"/>
  <c r="S21" i="66" s="1"/>
  <c r="E21" i="66"/>
  <c r="Q24" i="66"/>
  <c r="R24" i="66" s="1"/>
  <c r="S24" i="66" s="1"/>
  <c r="E24" i="66"/>
  <c r="Q14" i="66"/>
  <c r="E14" i="66"/>
  <c r="Q16" i="66"/>
  <c r="R16" i="66" s="1"/>
  <c r="S16" i="66" s="1"/>
  <c r="E16" i="66"/>
  <c r="Q22" i="66"/>
  <c r="R22" i="66" s="1"/>
  <c r="S22" i="66" s="1"/>
  <c r="E22" i="66"/>
  <c r="I22" i="66" s="1"/>
  <c r="Q23" i="66"/>
  <c r="R23" i="66" s="1"/>
  <c r="S23" i="66" s="1"/>
  <c r="E23" i="66"/>
  <c r="I23" i="66" s="1"/>
  <c r="Q25" i="66"/>
  <c r="R25" i="66" s="1"/>
  <c r="S25" i="66" s="1"/>
  <c r="E25" i="66"/>
  <c r="I25" i="66" s="1"/>
  <c r="Q14" i="65"/>
  <c r="E14" i="65"/>
  <c r="Q18" i="65"/>
  <c r="R18" i="65" s="1"/>
  <c r="S18" i="65" s="1"/>
  <c r="E18" i="65"/>
  <c r="Q20" i="65"/>
  <c r="R20" i="65" s="1"/>
  <c r="S20" i="65" s="1"/>
  <c r="E20" i="65"/>
  <c r="I20" i="65" s="1"/>
  <c r="Q21" i="65"/>
  <c r="R21" i="65" s="1"/>
  <c r="S21" i="65" s="1"/>
  <c r="E21" i="65"/>
  <c r="Q22" i="65"/>
  <c r="R22" i="65" s="1"/>
  <c r="S22" i="65" s="1"/>
  <c r="E22" i="65"/>
  <c r="I22" i="65" s="1"/>
  <c r="Q17" i="65"/>
  <c r="R17" i="65" s="1"/>
  <c r="S17" i="65" s="1"/>
  <c r="E17" i="65"/>
  <c r="I17" i="65" s="1"/>
  <c r="Q19" i="65"/>
  <c r="R19" i="65" s="1"/>
  <c r="S19" i="65" s="1"/>
  <c r="E19" i="65"/>
  <c r="I19" i="65" s="1"/>
  <c r="Q23" i="65"/>
  <c r="R23" i="65" s="1"/>
  <c r="S23" i="65" s="1"/>
  <c r="E23" i="65"/>
  <c r="I23" i="65" s="1"/>
  <c r="Q25" i="65"/>
  <c r="R25" i="65" s="1"/>
  <c r="S25" i="65" s="1"/>
  <c r="E25" i="65"/>
  <c r="I25" i="65" s="1"/>
  <c r="Q17" i="3"/>
  <c r="R17" i="3" s="1"/>
  <c r="S17" i="3" s="1"/>
  <c r="E17" i="3"/>
  <c r="I17" i="3" s="1"/>
  <c r="Q19" i="3"/>
  <c r="R19" i="3" s="1"/>
  <c r="S19" i="3" s="1"/>
  <c r="E19" i="3"/>
  <c r="I19" i="3" s="1"/>
  <c r="Q21" i="3"/>
  <c r="R21" i="3" s="1"/>
  <c r="S21" i="3" s="1"/>
  <c r="E21" i="3"/>
  <c r="Q23" i="3"/>
  <c r="R23" i="3" s="1"/>
  <c r="S23" i="3" s="1"/>
  <c r="E23" i="3"/>
  <c r="I23" i="3" s="1"/>
  <c r="Q25" i="3"/>
  <c r="R25" i="3" s="1"/>
  <c r="S25" i="3" s="1"/>
  <c r="E25" i="3"/>
  <c r="I25" i="3" s="1"/>
  <c r="Q14" i="3"/>
  <c r="E14" i="3"/>
  <c r="Q18" i="3"/>
  <c r="R18" i="3" s="1"/>
  <c r="S18" i="3" s="1"/>
  <c r="E18" i="3"/>
  <c r="Q20" i="3"/>
  <c r="R20" i="3" s="1"/>
  <c r="S20" i="3" s="1"/>
  <c r="E20" i="3"/>
  <c r="I20" i="3" s="1"/>
  <c r="Q22" i="3"/>
  <c r="R22" i="3" s="1"/>
  <c r="S22" i="3" s="1"/>
  <c r="E22" i="3"/>
  <c r="I22" i="3" s="1"/>
  <c r="Q16" i="64"/>
  <c r="R16" i="64" s="1"/>
  <c r="S16" i="64" s="1"/>
  <c r="E16" i="64"/>
  <c r="Q20" i="64"/>
  <c r="R20" i="64" s="1"/>
  <c r="S20" i="64" s="1"/>
  <c r="E20" i="64"/>
  <c r="I20" i="64" s="1"/>
  <c r="Q24" i="64"/>
  <c r="R24" i="64" s="1"/>
  <c r="S24" i="64" s="1"/>
  <c r="E24" i="64"/>
  <c r="Q15" i="64"/>
  <c r="R15" i="64" s="1"/>
  <c r="S15" i="64" s="1"/>
  <c r="E15" i="64"/>
  <c r="Q17" i="64"/>
  <c r="R17" i="64" s="1"/>
  <c r="S17" i="64" s="1"/>
  <c r="E17" i="64"/>
  <c r="I17" i="64" s="1"/>
  <c r="Q19" i="64"/>
  <c r="R19" i="64" s="1"/>
  <c r="S19" i="64" s="1"/>
  <c r="E19" i="64"/>
  <c r="I19" i="64" s="1"/>
  <c r="Q21" i="64"/>
  <c r="R21" i="64" s="1"/>
  <c r="S21" i="64" s="1"/>
  <c r="E21" i="64"/>
  <c r="I21" i="64" s="1"/>
  <c r="Q23" i="64"/>
  <c r="R23" i="64" s="1"/>
  <c r="S23" i="64" s="1"/>
  <c r="E23" i="64"/>
  <c r="I23" i="64" s="1"/>
  <c r="Q25" i="64"/>
  <c r="R25" i="64" s="1"/>
  <c r="S25" i="64" s="1"/>
  <c r="E25" i="64"/>
  <c r="I25" i="64" s="1"/>
  <c r="Q16" i="63"/>
  <c r="R16" i="63" s="1"/>
  <c r="S16" i="63" s="1"/>
  <c r="E16" i="63"/>
  <c r="Q18" i="63"/>
  <c r="R18" i="63" s="1"/>
  <c r="S18" i="63" s="1"/>
  <c r="E18" i="63"/>
  <c r="I18" i="63" s="1"/>
  <c r="Q20" i="63"/>
  <c r="R20" i="63" s="1"/>
  <c r="S20" i="63" s="1"/>
  <c r="E20" i="63"/>
  <c r="I20" i="63" s="1"/>
  <c r="Q22" i="63"/>
  <c r="R22" i="63" s="1"/>
  <c r="S22" i="63" s="1"/>
  <c r="E22" i="63"/>
  <c r="I22" i="63" s="1"/>
  <c r="Q24" i="63"/>
  <c r="R24" i="63" s="1"/>
  <c r="S24" i="63" s="1"/>
  <c r="E24" i="63"/>
  <c r="Q15" i="63"/>
  <c r="R15" i="63" s="1"/>
  <c r="S15" i="63" s="1"/>
  <c r="E15" i="63"/>
  <c r="I15" i="63" s="1"/>
  <c r="Q17" i="63"/>
  <c r="R17" i="63" s="1"/>
  <c r="S17" i="63" s="1"/>
  <c r="E17" i="63"/>
  <c r="I17" i="63" s="1"/>
  <c r="Q19" i="63"/>
  <c r="R19" i="63" s="1"/>
  <c r="S19" i="63" s="1"/>
  <c r="E19" i="63"/>
  <c r="I19" i="63" s="1"/>
  <c r="Q21" i="63"/>
  <c r="R21" i="63" s="1"/>
  <c r="S21" i="63" s="1"/>
  <c r="E21" i="63"/>
  <c r="Q23" i="63"/>
  <c r="R23" i="63" s="1"/>
  <c r="S23" i="63" s="1"/>
  <c r="E23" i="63"/>
  <c r="I23" i="63" s="1"/>
  <c r="Q25" i="63"/>
  <c r="R25" i="63" s="1"/>
  <c r="S25" i="63" s="1"/>
  <c r="E25" i="63"/>
  <c r="I25" i="63" s="1"/>
  <c r="K21" i="65"/>
  <c r="Y24" i="3"/>
  <c r="Z24" i="3" s="1"/>
  <c r="Y21" i="64"/>
  <c r="Z21" i="64" s="1"/>
  <c r="V26" i="66"/>
  <c r="AC26" i="66" s="1"/>
  <c r="M26" i="66"/>
  <c r="M26" i="65"/>
  <c r="M26" i="3"/>
  <c r="V26" i="3"/>
  <c r="M26" i="64"/>
  <c r="M26" i="63"/>
  <c r="Q18" i="66"/>
  <c r="R18" i="66" s="1"/>
  <c r="S18" i="66" s="1"/>
  <c r="Y18" i="66"/>
  <c r="Z18" i="66" s="1"/>
  <c r="Q20" i="66"/>
  <c r="R20" i="66" s="1"/>
  <c r="S20" i="66" s="1"/>
  <c r="U26" i="66"/>
  <c r="Q24" i="65"/>
  <c r="R24" i="65" s="1"/>
  <c r="S24" i="65" s="1"/>
  <c r="Y24" i="65"/>
  <c r="Z24" i="65" s="1"/>
  <c r="Q16" i="65"/>
  <c r="R16" i="65" s="1"/>
  <c r="S16" i="65" s="1"/>
  <c r="U26" i="65"/>
  <c r="V26" i="65"/>
  <c r="AC26" i="65" s="1"/>
  <c r="Q16" i="3"/>
  <c r="R16" i="3" s="1"/>
  <c r="S16" i="3" s="1"/>
  <c r="Q24" i="3"/>
  <c r="R24" i="3" s="1"/>
  <c r="S24" i="3" s="1"/>
  <c r="U26" i="3"/>
  <c r="Q18" i="64"/>
  <c r="R18" i="64" s="1"/>
  <c r="S18" i="64" s="1"/>
  <c r="Y18" i="64"/>
  <c r="Z18" i="64" s="1"/>
  <c r="Q22" i="64"/>
  <c r="R22" i="64" s="1"/>
  <c r="S22" i="64" s="1"/>
  <c r="V26" i="64"/>
  <c r="AC26" i="64" s="1"/>
  <c r="O14" i="64"/>
  <c r="U26" i="63"/>
  <c r="V26" i="63"/>
  <c r="R14" i="66"/>
  <c r="S14" i="66" s="1"/>
  <c r="O15" i="66"/>
  <c r="R14" i="65"/>
  <c r="S14" i="65" s="1"/>
  <c r="O15" i="65"/>
  <c r="R14" i="3"/>
  <c r="S14" i="3" s="1"/>
  <c r="AC26" i="3"/>
  <c r="O15" i="3"/>
  <c r="Y18" i="63"/>
  <c r="Z18" i="63" s="1"/>
  <c r="O14" i="63"/>
  <c r="E14" i="63" s="1"/>
  <c r="I21" i="63" l="1"/>
  <c r="Y21" i="63" s="1"/>
  <c r="Z21" i="63" s="1"/>
  <c r="I24" i="63"/>
  <c r="Y24" i="63" s="1"/>
  <c r="Z24" i="63" s="1"/>
  <c r="I18" i="3"/>
  <c r="Y18" i="3" s="1"/>
  <c r="Z18" i="3" s="1"/>
  <c r="I21" i="3"/>
  <c r="Y21" i="3" s="1"/>
  <c r="Z21" i="3" s="1"/>
  <c r="I21" i="65"/>
  <c r="Y21" i="65" s="1"/>
  <c r="Z21" i="65" s="1"/>
  <c r="I18" i="65"/>
  <c r="Y18" i="65" s="1"/>
  <c r="Z18" i="65" s="1"/>
  <c r="I21" i="66"/>
  <c r="Y21" i="66" s="1"/>
  <c r="Z21" i="66" s="1"/>
  <c r="I24" i="64"/>
  <c r="Y24" i="64" s="1"/>
  <c r="Z24" i="64" s="1"/>
  <c r="I24" i="66"/>
  <c r="Y24" i="66" s="1"/>
  <c r="Z24" i="66" s="1"/>
  <c r="I16" i="66"/>
  <c r="Y16" i="66" s="1"/>
  <c r="Z16" i="66" s="1"/>
  <c r="I14" i="66"/>
  <c r="J14" i="66" s="1"/>
  <c r="I14" i="65"/>
  <c r="J14" i="65" s="1"/>
  <c r="I14" i="3"/>
  <c r="J14" i="3" s="1"/>
  <c r="I15" i="64"/>
  <c r="Y15" i="64" s="1"/>
  <c r="Z15" i="64" s="1"/>
  <c r="I16" i="64"/>
  <c r="Y16" i="64" s="1"/>
  <c r="Z16" i="64" s="1"/>
  <c r="I16" i="63"/>
  <c r="Y16" i="63" s="1"/>
  <c r="Z16" i="63" s="1"/>
  <c r="I14" i="63"/>
  <c r="J14" i="63" s="1"/>
  <c r="F26" i="63"/>
  <c r="E26" i="63"/>
  <c r="AA24" i="65"/>
  <c r="AB24" i="65"/>
  <c r="AA18" i="66"/>
  <c r="AB18" i="66"/>
  <c r="AA24" i="3"/>
  <c r="AB24" i="3"/>
  <c r="AA18" i="63"/>
  <c r="AB18" i="63"/>
  <c r="AA18" i="64"/>
  <c r="AB18" i="64"/>
  <c r="AA21" i="64"/>
  <c r="AB21" i="64"/>
  <c r="Q15" i="66"/>
  <c r="R15" i="66" s="1"/>
  <c r="S15" i="66" s="1"/>
  <c r="S26" i="66" s="1"/>
  <c r="M113" i="1" s="1"/>
  <c r="E15" i="66"/>
  <c r="Y20" i="66"/>
  <c r="Z20" i="66" s="1"/>
  <c r="K22" i="66"/>
  <c r="Y22" i="66"/>
  <c r="Z22" i="66" s="1"/>
  <c r="K19" i="66"/>
  <c r="Y19" i="66"/>
  <c r="Z19" i="66" s="1"/>
  <c r="Y23" i="66"/>
  <c r="Z23" i="66" s="1"/>
  <c r="K25" i="66"/>
  <c r="Y25" i="66"/>
  <c r="Z25" i="66" s="1"/>
  <c r="K25" i="65"/>
  <c r="Y25" i="65"/>
  <c r="Z25" i="65" s="1"/>
  <c r="Y23" i="65"/>
  <c r="Z23" i="65" s="1"/>
  <c r="K19" i="65"/>
  <c r="Y19" i="65"/>
  <c r="Z19" i="65" s="1"/>
  <c r="K22" i="65"/>
  <c r="Y22" i="65"/>
  <c r="Z22" i="65" s="1"/>
  <c r="Y20" i="65"/>
  <c r="Z20" i="65" s="1"/>
  <c r="Q15" i="65"/>
  <c r="R15" i="65" s="1"/>
  <c r="S15" i="65" s="1"/>
  <c r="S26" i="65" s="1"/>
  <c r="M112" i="1" s="1"/>
  <c r="E15" i="65"/>
  <c r="K22" i="3"/>
  <c r="Y22" i="3"/>
  <c r="Z22" i="3" s="1"/>
  <c r="K25" i="3"/>
  <c r="Y25" i="3"/>
  <c r="Z25" i="3" s="1"/>
  <c r="Y23" i="3"/>
  <c r="Z23" i="3" s="1"/>
  <c r="Y20" i="3"/>
  <c r="Z20" i="3" s="1"/>
  <c r="K19" i="3"/>
  <c r="Y19" i="3"/>
  <c r="Z19" i="3" s="1"/>
  <c r="O26" i="3"/>
  <c r="E15" i="3"/>
  <c r="K25" i="64"/>
  <c r="Y25" i="64"/>
  <c r="Z25" i="64" s="1"/>
  <c r="K19" i="64"/>
  <c r="Y19" i="64"/>
  <c r="Z19" i="64" s="1"/>
  <c r="Y23" i="64"/>
  <c r="Z23" i="64" s="1"/>
  <c r="Y20" i="64"/>
  <c r="Z20" i="64" s="1"/>
  <c r="O26" i="64"/>
  <c r="E14" i="64"/>
  <c r="K22" i="64"/>
  <c r="Y22" i="64"/>
  <c r="Z22" i="64" s="1"/>
  <c r="K25" i="63"/>
  <c r="Y25" i="63"/>
  <c r="Z25" i="63" s="1"/>
  <c r="Y23" i="63"/>
  <c r="Z23" i="63" s="1"/>
  <c r="K22" i="63"/>
  <c r="Y22" i="63"/>
  <c r="Z22" i="63" s="1"/>
  <c r="Y20" i="63"/>
  <c r="Z20" i="63" s="1"/>
  <c r="K19" i="63"/>
  <c r="Y19" i="63"/>
  <c r="Z19" i="63" s="1"/>
  <c r="K16" i="66"/>
  <c r="K21" i="66"/>
  <c r="K24" i="66"/>
  <c r="Y17" i="66"/>
  <c r="Z17" i="66" s="1"/>
  <c r="K16" i="65"/>
  <c r="Y16" i="65"/>
  <c r="Z16" i="65" s="1"/>
  <c r="K24" i="65"/>
  <c r="Y17" i="65"/>
  <c r="Z17" i="65" s="1"/>
  <c r="K24" i="3"/>
  <c r="K16" i="3"/>
  <c r="Y16" i="3"/>
  <c r="Z16" i="3" s="1"/>
  <c r="K21" i="3"/>
  <c r="Y17" i="3"/>
  <c r="Z17" i="3" s="1"/>
  <c r="Y17" i="64"/>
  <c r="Z17" i="64" s="1"/>
  <c r="K21" i="64"/>
  <c r="K24" i="64"/>
  <c r="K16" i="64"/>
  <c r="K21" i="63"/>
  <c r="Y17" i="63"/>
  <c r="Z17" i="63" s="1"/>
  <c r="K24" i="63"/>
  <c r="K15" i="63"/>
  <c r="Y15" i="63"/>
  <c r="Z15" i="63" s="1"/>
  <c r="K15" i="64"/>
  <c r="K18" i="64"/>
  <c r="K18" i="63"/>
  <c r="K18" i="3"/>
  <c r="K18" i="65"/>
  <c r="K18" i="66"/>
  <c r="Q15" i="3"/>
  <c r="Q14" i="64"/>
  <c r="AC26" i="63"/>
  <c r="O26" i="66"/>
  <c r="O26" i="65"/>
  <c r="Q14" i="63"/>
  <c r="O26" i="63"/>
  <c r="N26" i="60"/>
  <c r="M46" i="1" s="1"/>
  <c r="Q26" i="66" l="1"/>
  <c r="R26" i="66"/>
  <c r="M108" i="1" s="1"/>
  <c r="R26" i="65"/>
  <c r="M107" i="1" s="1"/>
  <c r="K16" i="63"/>
  <c r="AA24" i="64"/>
  <c r="AB24" i="64"/>
  <c r="AA21" i="3"/>
  <c r="AB21" i="3"/>
  <c r="AA21" i="66"/>
  <c r="AB21" i="66"/>
  <c r="AB18" i="3"/>
  <c r="AA18" i="3"/>
  <c r="AA18" i="65"/>
  <c r="AB18" i="65"/>
  <c r="AB24" i="63"/>
  <c r="AA24" i="63"/>
  <c r="AA24" i="66"/>
  <c r="AB24" i="66"/>
  <c r="AA21" i="65"/>
  <c r="AB21" i="65"/>
  <c r="AA21" i="63"/>
  <c r="AB21" i="63"/>
  <c r="E26" i="66"/>
  <c r="E26" i="65"/>
  <c r="E26" i="3"/>
  <c r="AA15" i="64"/>
  <c r="AB15" i="64"/>
  <c r="E26" i="64"/>
  <c r="I26" i="63"/>
  <c r="AA19" i="3"/>
  <c r="AB19" i="3"/>
  <c r="AA20" i="3"/>
  <c r="AB20" i="3"/>
  <c r="AA23" i="3"/>
  <c r="AB23" i="3"/>
  <c r="AA25" i="3"/>
  <c r="AB25" i="3"/>
  <c r="AA22" i="3"/>
  <c r="AB22" i="3"/>
  <c r="AA20" i="65"/>
  <c r="AB20" i="65"/>
  <c r="AA22" i="65"/>
  <c r="AB22" i="65"/>
  <c r="AA19" i="65"/>
  <c r="AB19" i="65"/>
  <c r="AA23" i="65"/>
  <c r="AB23" i="65"/>
  <c r="AA25" i="65"/>
  <c r="AB25" i="65"/>
  <c r="AA25" i="66"/>
  <c r="AB25" i="66"/>
  <c r="AA23" i="66"/>
  <c r="AB23" i="66"/>
  <c r="AA19" i="66"/>
  <c r="AB19" i="66"/>
  <c r="AA22" i="66"/>
  <c r="AB22" i="66"/>
  <c r="AA20" i="66"/>
  <c r="AB20" i="66"/>
  <c r="AA19" i="63"/>
  <c r="AB19" i="63"/>
  <c r="AA20" i="63"/>
  <c r="AB20" i="63"/>
  <c r="AA22" i="63"/>
  <c r="AB22" i="63"/>
  <c r="AA23" i="63"/>
  <c r="AB23" i="63"/>
  <c r="AA25" i="63"/>
  <c r="AB25" i="63"/>
  <c r="AA22" i="64"/>
  <c r="AB22" i="64"/>
  <c r="AA20" i="64"/>
  <c r="AB20" i="64"/>
  <c r="AA23" i="64"/>
  <c r="AB23" i="64"/>
  <c r="AA19" i="64"/>
  <c r="AB19" i="64"/>
  <c r="AA25" i="64"/>
  <c r="AB25" i="64"/>
  <c r="AA17" i="66"/>
  <c r="AB17" i="66"/>
  <c r="AA16" i="66"/>
  <c r="AB16" i="66"/>
  <c r="AA17" i="65"/>
  <c r="AB17" i="65"/>
  <c r="Q26" i="65"/>
  <c r="AA16" i="65"/>
  <c r="AB16" i="65"/>
  <c r="AA17" i="3"/>
  <c r="AB17" i="3"/>
  <c r="AA16" i="3"/>
  <c r="AB16" i="3"/>
  <c r="AA16" i="64"/>
  <c r="AB16" i="64"/>
  <c r="AA17" i="64"/>
  <c r="AB17" i="64"/>
  <c r="AA16" i="63"/>
  <c r="AB16" i="63"/>
  <c r="AA15" i="63"/>
  <c r="AB15" i="63"/>
  <c r="AA17" i="63"/>
  <c r="AB17" i="63"/>
  <c r="Y14" i="66"/>
  <c r="Y14" i="65"/>
  <c r="Y14" i="3"/>
  <c r="J26" i="63"/>
  <c r="D97" i="1" s="1"/>
  <c r="J26" i="66"/>
  <c r="M98" i="1" s="1"/>
  <c r="K26" i="63"/>
  <c r="D102" i="1" s="1"/>
  <c r="R15" i="3"/>
  <c r="S15" i="3" s="1"/>
  <c r="Q26" i="3"/>
  <c r="K26" i="64"/>
  <c r="D103" i="1" s="1"/>
  <c r="Q26" i="64"/>
  <c r="R14" i="64"/>
  <c r="S14" i="64" s="1"/>
  <c r="J26" i="65"/>
  <c r="M97" i="1" s="1"/>
  <c r="Q26" i="63"/>
  <c r="R14" i="63"/>
  <c r="S14" i="63" s="1"/>
  <c r="I15" i="66" l="1"/>
  <c r="K15" i="66" s="1"/>
  <c r="K26" i="66" s="1"/>
  <c r="M103" i="1" s="1"/>
  <c r="F26" i="66"/>
  <c r="I15" i="65"/>
  <c r="K15" i="65" s="1"/>
  <c r="K26" i="65" s="1"/>
  <c r="M102" i="1" s="1"/>
  <c r="F26" i="65"/>
  <c r="I15" i="3"/>
  <c r="K15" i="3" s="1"/>
  <c r="K26" i="3" s="1"/>
  <c r="M101" i="1" s="1"/>
  <c r="F26" i="3"/>
  <c r="I14" i="64"/>
  <c r="J14" i="64" s="1"/>
  <c r="J26" i="64" s="1"/>
  <c r="D98" i="1" s="1"/>
  <c r="F26" i="64"/>
  <c r="J26" i="3"/>
  <c r="M96" i="1" s="1"/>
  <c r="Z14" i="66"/>
  <c r="AB14" i="66" s="1"/>
  <c r="Z14" i="65"/>
  <c r="AB14" i="65" s="1"/>
  <c r="Z14" i="3"/>
  <c r="AB14" i="3" s="1"/>
  <c r="X26" i="63"/>
  <c r="Y14" i="63"/>
  <c r="S26" i="3"/>
  <c r="M111" i="1" s="1"/>
  <c r="R26" i="3"/>
  <c r="M106" i="1" s="1"/>
  <c r="R26" i="64"/>
  <c r="D108" i="1" s="1"/>
  <c r="S26" i="64"/>
  <c r="D113" i="1" s="1"/>
  <c r="R26" i="63"/>
  <c r="D107" i="1" s="1"/>
  <c r="S26" i="63"/>
  <c r="D112" i="1" s="1"/>
  <c r="I26" i="66" l="1"/>
  <c r="I26" i="65"/>
  <c r="I26" i="3"/>
  <c r="I26" i="64"/>
  <c r="AA14" i="66"/>
  <c r="AA14" i="65"/>
  <c r="AA14" i="3"/>
  <c r="Z14" i="63"/>
  <c r="AB14" i="63" s="1"/>
  <c r="AB26" i="63" s="1"/>
  <c r="Y26" i="63"/>
  <c r="W26" i="60"/>
  <c r="Y15" i="66" l="1"/>
  <c r="X26" i="66"/>
  <c r="Y15" i="65"/>
  <c r="X26" i="65"/>
  <c r="Y15" i="3"/>
  <c r="X26" i="3"/>
  <c r="X26" i="64"/>
  <c r="Y14" i="64"/>
  <c r="Z26" i="63"/>
  <c r="D137" i="1" s="1"/>
  <c r="AA14" i="63"/>
  <c r="AA26" i="63" s="1"/>
  <c r="D142" i="1" s="1"/>
  <c r="M92" i="1"/>
  <c r="M78" i="1"/>
  <c r="M83" i="1" s="1"/>
  <c r="M88" i="1" s="1"/>
  <c r="E8" i="66"/>
  <c r="D7" i="66"/>
  <c r="E8" i="65"/>
  <c r="D7" i="65"/>
  <c r="E9" i="3"/>
  <c r="D8" i="3"/>
  <c r="E9" i="64"/>
  <c r="D8" i="64"/>
  <c r="H9" i="63"/>
  <c r="E9" i="63"/>
  <c r="E8" i="63"/>
  <c r="T26" i="60"/>
  <c r="P26" i="60"/>
  <c r="L26" i="60"/>
  <c r="H26" i="60"/>
  <c r="D26" i="60"/>
  <c r="V25" i="60"/>
  <c r="U25" i="60"/>
  <c r="O25" i="60"/>
  <c r="V24" i="60"/>
  <c r="U24" i="60"/>
  <c r="O24" i="60"/>
  <c r="E24" i="60" s="1"/>
  <c r="V23" i="60"/>
  <c r="U23" i="60"/>
  <c r="O23" i="60"/>
  <c r="V22" i="60"/>
  <c r="U22" i="60"/>
  <c r="O22" i="60"/>
  <c r="E22" i="60" s="1"/>
  <c r="V21" i="60"/>
  <c r="U21" i="60"/>
  <c r="O21" i="60"/>
  <c r="V20" i="60"/>
  <c r="U20" i="60"/>
  <c r="O20" i="60"/>
  <c r="E20" i="60" s="1"/>
  <c r="V19" i="60"/>
  <c r="U19" i="60"/>
  <c r="O19" i="60"/>
  <c r="V18" i="60"/>
  <c r="U18" i="60"/>
  <c r="O18" i="60"/>
  <c r="E18" i="60" s="1"/>
  <c r="V17" i="60"/>
  <c r="U17" i="60"/>
  <c r="O17" i="60"/>
  <c r="E17" i="60" s="1"/>
  <c r="V16" i="60"/>
  <c r="U16" i="60"/>
  <c r="O16" i="60"/>
  <c r="E16" i="60" s="1"/>
  <c r="V15" i="60"/>
  <c r="U15" i="60"/>
  <c r="O15" i="60"/>
  <c r="E15" i="60" s="1"/>
  <c r="V14" i="60"/>
  <c r="U14" i="60"/>
  <c r="O14" i="60"/>
  <c r="E14" i="60" s="1"/>
  <c r="H8" i="60"/>
  <c r="E8" i="60"/>
  <c r="E7" i="60"/>
  <c r="E20" i="2"/>
  <c r="D20" i="2"/>
  <c r="C20" i="2"/>
  <c r="H8" i="2"/>
  <c r="F8" i="2"/>
  <c r="C7" i="2"/>
  <c r="C16" i="12"/>
  <c r="C13" i="12"/>
  <c r="Z15" i="66" l="1"/>
  <c r="Y26" i="66"/>
  <c r="Z15" i="65"/>
  <c r="Y26" i="65"/>
  <c r="Z15" i="3"/>
  <c r="Y26" i="3"/>
  <c r="Z14" i="64"/>
  <c r="Y26" i="64"/>
  <c r="I16" i="60"/>
  <c r="Q19" i="60"/>
  <c r="E19" i="60"/>
  <c r="Q21" i="60"/>
  <c r="E21" i="60"/>
  <c r="Q23" i="60"/>
  <c r="E23" i="60"/>
  <c r="Q25" i="60"/>
  <c r="R25" i="60" s="1"/>
  <c r="S25" i="60" s="1"/>
  <c r="E25" i="60"/>
  <c r="Q22" i="60"/>
  <c r="U26" i="60"/>
  <c r="Q20" i="60"/>
  <c r="R20" i="60" s="1"/>
  <c r="S20" i="60" s="1"/>
  <c r="Q24" i="60"/>
  <c r="R24" i="60" s="1"/>
  <c r="S24" i="60" s="1"/>
  <c r="Q15" i="60"/>
  <c r="R15" i="60" s="1"/>
  <c r="S15" i="60" s="1"/>
  <c r="Q18" i="60"/>
  <c r="R18" i="60" s="1"/>
  <c r="S18" i="60" s="1"/>
  <c r="Q17" i="60"/>
  <c r="R17" i="60" s="1"/>
  <c r="S17" i="60" s="1"/>
  <c r="Q16" i="60"/>
  <c r="R16" i="60" s="1"/>
  <c r="S16" i="60" s="1"/>
  <c r="Q14" i="60"/>
  <c r="R19" i="60"/>
  <c r="S19" i="60" s="1"/>
  <c r="R23" i="60"/>
  <c r="S23" i="60" s="1"/>
  <c r="R21" i="60"/>
  <c r="S21" i="60" s="1"/>
  <c r="C21" i="2"/>
  <c r="E24" i="2" s="1"/>
  <c r="V26" i="60"/>
  <c r="R22" i="60"/>
  <c r="S22" i="60" s="1"/>
  <c r="M130" i="1"/>
  <c r="M73" i="1"/>
  <c r="O26" i="60"/>
  <c r="M26" i="60"/>
  <c r="M82" i="1"/>
  <c r="M87" i="1"/>
  <c r="M77" i="1"/>
  <c r="M72" i="1"/>
  <c r="AA15" i="66" l="1"/>
  <c r="AA26" i="66" s="1"/>
  <c r="AB15" i="66"/>
  <c r="AB26" i="66" s="1"/>
  <c r="Z26" i="66"/>
  <c r="M138" i="1" s="1"/>
  <c r="AB15" i="65"/>
  <c r="AB26" i="65" s="1"/>
  <c r="AA15" i="65"/>
  <c r="AA26" i="65" s="1"/>
  <c r="Z26" i="65"/>
  <c r="M137" i="1" s="1"/>
  <c r="AB15" i="3"/>
  <c r="AB26" i="3" s="1"/>
  <c r="AA15" i="3"/>
  <c r="AA26" i="3" s="1"/>
  <c r="Z26" i="3"/>
  <c r="M136" i="1" s="1"/>
  <c r="AB14" i="64"/>
  <c r="AB26" i="64" s="1"/>
  <c r="Z26" i="64"/>
  <c r="D138" i="1" s="1"/>
  <c r="AA14" i="64"/>
  <c r="AA26" i="64" s="1"/>
  <c r="E26" i="60"/>
  <c r="Y16" i="60"/>
  <c r="Z16" i="60" s="1"/>
  <c r="K25" i="60"/>
  <c r="K24" i="60"/>
  <c r="K22" i="60"/>
  <c r="K21" i="60"/>
  <c r="K19" i="60"/>
  <c r="K16" i="60"/>
  <c r="K18" i="60"/>
  <c r="M44" i="1"/>
  <c r="M124" i="1"/>
  <c r="AC26" i="60"/>
  <c r="M50" i="1" s="1"/>
  <c r="M36" i="1"/>
  <c r="M52" i="1" s="1"/>
  <c r="Q26" i="60"/>
  <c r="R14" i="60"/>
  <c r="S14" i="60" s="1"/>
  <c r="D143" i="1" l="1"/>
  <c r="M142" i="1"/>
  <c r="M141" i="1"/>
  <c r="M143" i="1"/>
  <c r="M54" i="1"/>
  <c r="M56" i="1" s="1"/>
  <c r="M58" i="1" s="1"/>
  <c r="M64" i="1" s="1"/>
  <c r="Y15" i="60"/>
  <c r="Z15" i="60" s="1"/>
  <c r="AA15" i="60" s="1"/>
  <c r="AA16" i="60"/>
  <c r="AB16" i="60"/>
  <c r="Y14" i="60"/>
  <c r="M119" i="1"/>
  <c r="M115" i="1"/>
  <c r="R26" i="60"/>
  <c r="S26" i="60"/>
  <c r="D111" i="1" s="1"/>
  <c r="M120" i="1"/>
  <c r="AB15" i="60" l="1"/>
  <c r="Z14" i="60"/>
  <c r="D106" i="1"/>
  <c r="M109" i="1" s="1"/>
  <c r="M95" i="1"/>
  <c r="M114" i="1"/>
  <c r="M60" i="1" s="1"/>
  <c r="I15" i="60" l="1"/>
  <c r="AB14" i="60"/>
  <c r="AA14" i="60"/>
  <c r="M135" i="1"/>
  <c r="F14" i="60" l="1"/>
  <c r="I14" i="60" s="1"/>
  <c r="J14" i="60" s="1"/>
  <c r="K15" i="60"/>
  <c r="K26" i="60" s="1"/>
  <c r="D101" i="1" s="1"/>
  <c r="M104" i="1" s="1"/>
  <c r="J26" i="60" l="1"/>
  <c r="D96" i="1" s="1"/>
  <c r="M99" i="1" s="1"/>
  <c r="I22" i="60"/>
  <c r="Y22" i="60"/>
  <c r="Z22" i="60" s="1"/>
  <c r="I18" i="60"/>
  <c r="Y18" i="60" s="1"/>
  <c r="Z18" i="60" s="1"/>
  <c r="I19" i="60"/>
  <c r="Y19" i="60" s="1"/>
  <c r="Z19" i="60" s="1"/>
  <c r="I20" i="60"/>
  <c r="Y20" i="60" s="1"/>
  <c r="Z20" i="60" s="1"/>
  <c r="I25" i="60"/>
  <c r="Y25" i="60" s="1"/>
  <c r="Z25" i="60" s="1"/>
  <c r="I23" i="60"/>
  <c r="Y23" i="60" s="1"/>
  <c r="Z23" i="60" s="1"/>
  <c r="I21" i="60"/>
  <c r="Y21" i="60" s="1"/>
  <c r="Z21" i="60" s="1"/>
  <c r="I24" i="60"/>
  <c r="Y24" i="60"/>
  <c r="Z24" i="60" s="1"/>
  <c r="AA22" i="60" l="1"/>
  <c r="AB22" i="60"/>
  <c r="AA23" i="60"/>
  <c r="AB23" i="60"/>
  <c r="AB20" i="60"/>
  <c r="AA20" i="60"/>
  <c r="AB19" i="60"/>
  <c r="AA19" i="60"/>
  <c r="AB21" i="60"/>
  <c r="AA21" i="60"/>
  <c r="AA24" i="60"/>
  <c r="AB24" i="60"/>
  <c r="AB25" i="60"/>
  <c r="AA25" i="60"/>
  <c r="AA18" i="60"/>
  <c r="AB18" i="60"/>
  <c r="X26" i="60"/>
  <c r="Y17" i="60"/>
  <c r="Y26" i="60" s="1"/>
  <c r="Z17" i="60" l="1"/>
  <c r="AB17" i="60" l="1"/>
  <c r="AA17" i="60"/>
  <c r="AA26" i="60" s="1"/>
  <c r="Z26" i="60"/>
  <c r="D136" i="1" s="1"/>
  <c r="M139" i="1" s="1"/>
  <c r="AB26" i="60" l="1"/>
  <c r="D141" i="1" s="1"/>
  <c r="M144" i="1" s="1"/>
  <c r="F26" i="60" l="1"/>
  <c r="I17" i="60"/>
  <c r="I26" i="60" s="1"/>
</calcChain>
</file>

<file path=xl/sharedStrings.xml><?xml version="1.0" encoding="utf-8"?>
<sst xmlns="http://schemas.openxmlformats.org/spreadsheetml/2006/main" count="769" uniqueCount="273">
  <si>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</si>
  <si>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</si>
  <si>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</si>
  <si>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</si>
  <si>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</si>
  <si>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</si>
  <si>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</si>
  <si>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</si>
  <si>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</si>
  <si>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</si>
  <si>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</si>
  <si>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</si>
  <si>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</si>
  <si>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</si>
  <si>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</si>
  <si>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</si>
  <si>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</si>
  <si>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</si>
  <si>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</si>
  <si>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</si>
  <si>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</si>
  <si>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</si>
  <si>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</si>
  <si>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</si>
  <si>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</si>
  <si>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</si>
  <si>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</si>
  <si>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</si>
  <si>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</si>
  <si>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</si>
  <si>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</si>
  <si>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</si>
  <si>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</si>
  <si>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</si>
  <si>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</si>
  <si>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</si>
  <si>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</si>
  <si>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</si>
  <si>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</si>
  <si>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</si>
  <si>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</si>
  <si>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</si>
  <si>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</si>
  <si>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</si>
  <si>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</si>
  <si>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</si>
  <si>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</si>
  <si>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</si>
  <si>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</si>
  <si>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</si>
  <si>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</si>
  <si>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</si>
  <si>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</si>
  <si>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</si>
  <si>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</si>
  <si>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</si>
  <si>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</si>
  <si>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</si>
  <si>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</si>
  <si>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</si>
  <si>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</si>
  <si>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</si>
  <si>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</si>
  <si>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</si>
  <si>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</si>
  <si>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</si>
  <si>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</si>
  <si>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</si>
  <si>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</si>
  <si>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</si>
  <si>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</si>
  <si>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</si>
  <si>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</si>
  <si>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</si>
  <si>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</si>
  <si>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</si>
  <si>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</si>
  <si>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</si>
  <si>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</si>
  <si>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</si>
  <si>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</si>
  <si>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</si>
  <si>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</si>
  <si>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</si>
  <si>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</si>
  <si>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</si>
  <si>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</si>
  <si>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</si>
  <si>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</si>
  <si>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</si>
  <si>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</si>
  <si>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</si>
  <si>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</si>
  <si>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</si>
  <si>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</si>
  <si>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</si>
  <si>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</si>
  <si>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</si>
  <si>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</si>
  <si>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</si>
  <si>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</si>
  <si>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</si>
  <si>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</si>
  <si>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</si>
  <si>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</si>
  <si>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</si>
  <si>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</si>
  <si>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</si>
  <si>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</si>
  <si>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</si>
  <si>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</si>
  <si>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</si>
  <si>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</si>
  <si>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</si>
  <si>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</si>
  <si>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</si>
  <si>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</si>
  <si>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</si>
  <si>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</si>
  <si>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</si>
  <si>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</si>
  <si>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</si>
  <si>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</si>
  <si>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</si>
  <si>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</si>
  <si>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</si>
  <si>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</si>
  <si>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</si>
  <si>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</si>
  <si>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</si>
  <si>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</si>
  <si>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</si>
  <si>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</si>
  <si>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</si>
  <si>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</si>
  <si>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</si>
  <si>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</si>
  <si>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</si>
  <si>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</si>
  <si>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</si>
  <si>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</si>
  <si>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</si>
  <si>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</si>
  <si>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</si>
  <si>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</si>
  <si>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</si>
  <si>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</si>
  <si>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</si>
  <si>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</si>
  <si>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</si>
  <si>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</si>
  <si>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</si>
  <si>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</si>
  <si>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</si>
  <si>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</si>
  <si>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</si>
  <si>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</si>
  <si>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</si>
  <si>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</si>
  <si>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</si>
  <si>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</si>
  <si>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</si>
  <si>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Доходы работников, с которых удерживаются (начисляются) обязательные пенсионные взносы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</si>
  <si>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</si>
  <si>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</si>
  <si>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</si>
  <si>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</si>
  <si>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</si>
  <si>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</si>
  <si>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</si>
  <si>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</si>
  <si>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</si>
  <si>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</si>
  <si>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</si>
  <si>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</si>
  <si>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</si>
  <si>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</si>
  <si>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</si>
  <si>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</si>
  <si>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</si>
  <si>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х</t>
  </si>
  <si>
    <t>Среднемесячная заработная плата на одного работника (Х26 2.1+2.2+2.3+2.4+2.5+2.6)/6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</si>
  <si>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</si>
  <si>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</si>
  <si>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</si>
  <si>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</si>
  <si>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</si>
  <si>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</si>
  <si>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Корректировка дохода 90%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</si>
  <si>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</si>
  <si>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</si>
  <si>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</si>
  <si>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</si>
  <si>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</si>
  <si>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</si>
  <si>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</si>
  <si>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</si>
  <si>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</si>
  <si>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</si>
  <si>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</si>
  <si>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</si>
  <si>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</si>
  <si>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 на конец налоговогго периода всего</t>
  </si>
  <si>
    <t>запасы на начало налоговогго периода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</si>
  <si>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</si>
  <si>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</si>
  <si>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</si>
  <si>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</si>
  <si>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</si>
  <si>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</si>
  <si>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</si>
  <si>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</si>
  <si>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</si>
  <si>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>УПРОЩЕННАЯ ДЕКЛАРАЦИЯ ДЛЯ СУБЪЕКТОВ МАЛОГО БИЗНЕСА (910.00) за 2020 год для ИП</t>
  </si>
  <si>
    <t xml:space="preserve">Налоговый период:   полугодие     Год  </t>
  </si>
  <si>
    <t>Исчисление налога и социальных платежей с доходов физических лиц</t>
  </si>
  <si>
    <t>Ф.И.О. физ.лица</t>
  </si>
  <si>
    <t>ИИН физ.лица</t>
  </si>
  <si>
    <t>Статус</t>
  </si>
  <si>
    <t>Категория</t>
  </si>
  <si>
    <t>Начислено доходов</t>
  </si>
  <si>
    <t>Доходы не подлежащие налогообложению (корректировка)</t>
  </si>
  <si>
    <t>Сумма ОПВ</t>
  </si>
  <si>
    <t>Сумма взносов ОСМС</t>
  </si>
  <si>
    <t>Стандартные налоговые вычеты</t>
  </si>
  <si>
    <t>Прочие налоговые вычеты</t>
  </si>
  <si>
    <t>Облагаемый доход</t>
  </si>
  <si>
    <t>Исчисленный ИПН</t>
  </si>
  <si>
    <t>Выплачено доходов</t>
  </si>
  <si>
    <t>ИПН подлежащий уплате в бюджет</t>
  </si>
  <si>
    <t>Сумма соц.отчислений</t>
  </si>
  <si>
    <t>Сумма ОППВ</t>
  </si>
  <si>
    <t>Сумма ОПВ работодателя</t>
  </si>
  <si>
    <t>Сумма отчислений ОСМС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</si>
  <si>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</si>
  <si>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</si>
  <si>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</si>
  <si>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</si>
  <si>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</si>
  <si>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</si>
  <si>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</si>
  <si>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</si>
  <si>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</si>
  <si>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</si>
  <si>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</si>
  <si>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</si>
  <si>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</si>
  <si>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</si>
  <si>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Первый</t>
  </si>
  <si>
    <t>Второй</t>
  </si>
  <si>
    <t>В графе D указывается статус физического лица:</t>
  </si>
  <si>
    <t>1 - работник;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</si>
  <si>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работ;</t>
  </si>
  <si>
    <t>3 - физическое лицо, получившее иные доходы, облагаемые у источника выплаты;</t>
  </si>
  <si>
    <t>В графе E указывается категория физического лица:</t>
  </si>
  <si>
    <t>1 - пенсионер;</t>
  </si>
  <si>
    <t>2 - инвалид;</t>
  </si>
  <si>
    <t>3 - лицо, приравненное к участникам Великой Отечественной войны;</t>
  </si>
  <si>
    <t>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</si>
  <si>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усыновитель (удочеритель) ребенка, не достигшего восемнадцатилетнего возраста;</t>
  </si>
  <si>
    <t>приемный родитель, принявший детей-сирот и детей, оставшихся без попечения родителей, в приемную семью;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</si>
  <si>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2"/>
        <color rgb="FFFF0000"/>
        <rFont val="Times New Roman"/>
        <family val="1"/>
        <charset val="204"/>
      </rPr>
      <t xml:space="preserve">по  форме 910.00 за 2-е  полугодие 2020 года. В форме № 910 Декларации ничего заполнять вручную нельзя,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</si>
  <si>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>Ограничения по доходам ТОО согласно п. 2 ст.683 НК</t>
  </si>
  <si>
    <t>РК</t>
  </si>
  <si>
    <t>РФ</t>
  </si>
  <si>
    <t>Тур</t>
  </si>
  <si>
    <t xml:space="preserve">Ставка ОПВ (5%) 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</si>
  <si>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</si>
  <si>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</si>
  <si>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</si>
  <si>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</si>
  <si>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</si>
  <si>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Если в 2020-2022 гг. ИП вправе уменьшить сумму ИПН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ИПН и социального налога.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</si>
</sst>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31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29" fillId="0" borderId="0" applyFont="0" applyFill="0" applyBorder="0" applyAlignment="0" applyProtection="0"/>
  </cellStyleXfs>
  <cellXfs count="332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1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4" borderId="6" xfId="0" applyFont="1" applyFill="1" applyBorder="1"/>
    <xf numFmtId="0" fontId="20" fillId="5" borderId="6" xfId="0" applyFont="1" applyFill="1" applyBorder="1" applyAlignment="1">
      <alignment vertical="center" wrapText="1"/>
    </xf>
    <xf numFmtId="0" fontId="0" fillId="4" borderId="7" xfId="0" applyFill="1" applyBorder="1"/>
    <xf numFmtId="0" fontId="5" fillId="4" borderId="7" xfId="0" applyFont="1" applyFill="1" applyBorder="1"/>
    <xf numFmtId="9" fontId="5" fillId="0" borderId="7" xfId="0" applyNumberFormat="1" applyFont="1" applyBorder="1"/>
    <xf numFmtId="0" fontId="24" fillId="0" borderId="7" xfId="0" applyFont="1" applyBorder="1"/>
    <xf numFmtId="0" fontId="6" fillId="0" borderId="0" xfId="0" applyFo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4" borderId="6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justify" vertical="center"/>
    </xf>
    <xf numFmtId="3" fontId="0" fillId="4" borderId="7" xfId="0" applyNumberFormat="1" applyFill="1" applyBorder="1"/>
    <xf numFmtId="0" fontId="14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4" fillId="0" borderId="7" xfId="0" applyFont="1" applyFill="1" applyBorder="1"/>
    <xf numFmtId="0" fontId="2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165" fontId="30" fillId="0" borderId="7" xfId="2" applyNumberFormat="1" applyFont="1" applyFill="1" applyBorder="1" applyAlignment="1">
      <alignment horizontal="left" vertical="center" wrapText="1" indent="2"/>
    </xf>
    <xf numFmtId="1" fontId="5" fillId="0" borderId="7" xfId="0" applyNumberFormat="1" applyFont="1" applyBorder="1"/>
    <xf numFmtId="1" fontId="28" fillId="0" borderId="7" xfId="0" applyNumberFormat="1" applyFont="1" applyFill="1" applyBorder="1" applyAlignment="1">
      <alignment horizontal="right" vertical="center"/>
    </xf>
    <xf numFmtId="1" fontId="0" fillId="0" borderId="7" xfId="0" applyNumberFormat="1" applyBorder="1"/>
    <xf numFmtId="165" fontId="5" fillId="0" borderId="7" xfId="2" applyNumberFormat="1" applyFont="1" applyBorder="1"/>
    <xf numFmtId="165" fontId="0" fillId="0" borderId="7" xfId="2" applyNumberFormat="1" applyFont="1" applyBorder="1"/>
    <xf numFmtId="165" fontId="5" fillId="0" borderId="0" xfId="2" applyNumberFormat="1" applyFont="1"/>
    <xf numFmtId="0" fontId="6" fillId="0" borderId="5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horizontal="center" wrapText="1"/>
    </xf>
    <xf numFmtId="0" fontId="21" fillId="0" borderId="31" xfId="0" applyFont="1" applyFill="1" applyBorder="1" applyAlignment="1">
      <alignment horizontal="center" wrapText="1"/>
    </xf>
    <xf numFmtId="0" fontId="21" fillId="0" borderId="20" xfId="0" applyFont="1" applyFill="1" applyBorder="1" applyAlignment="1">
      <alignment horizontal="center" wrapText="1"/>
    </xf>
    <xf numFmtId="0" fontId="21" fillId="0" borderId="50" xfId="0" applyFont="1" applyFill="1" applyBorder="1" applyAlignment="1">
      <alignment horizontal="center" wrapText="1"/>
    </xf>
    <xf numFmtId="0" fontId="21" fillId="0" borderId="32" xfId="0" applyFont="1" applyFill="1" applyBorder="1" applyAlignment="1">
      <alignment horizontal="center" wrapText="1"/>
    </xf>
    <xf numFmtId="0" fontId="21" fillId="0" borderId="33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left" vertical="top" wrapText="1"/>
    </xf>
    <xf numFmtId="3" fontId="7" fillId="0" borderId="0" xfId="0" applyNumberFormat="1" applyFont="1" applyBorder="1"/>
    <xf numFmtId="165" fontId="0" fillId="4" borderId="7" xfId="2" applyNumberFormat="1" applyFont="1" applyFill="1" applyBorder="1"/>
    <xf numFmtId="165" fontId="0" fillId="0" borderId="7" xfId="2" applyNumberFormat="1" applyFont="1" applyFill="1" applyBorder="1"/>
    <xf numFmtId="165" fontId="28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/>
    <xf numFmtId="0" fontId="0" fillId="0" borderId="7" xfId="0" applyFill="1" applyBorder="1"/>
    <xf numFmtId="0" fontId="14" fillId="0" borderId="18" xfId="0" applyFont="1" applyBorder="1" applyAlignment="1">
      <alignment horizontal="center"/>
    </xf>
    <xf numFmtId="1" fontId="0" fillId="4" borderId="7" xfId="0" applyNumberFormat="1" applyFill="1" applyBorder="1"/>
    <xf numFmtId="165" fontId="28" fillId="4" borderId="7" xfId="2" applyNumberFormat="1" applyFont="1" applyFill="1" applyBorder="1" applyAlignment="1">
      <alignment horizontal="right" vertical="center"/>
    </xf>
    <xf numFmtId="165" fontId="5" fillId="4" borderId="7" xfId="0" applyNumberFormat="1" applyFont="1" applyFill="1" applyBorder="1"/>
    <xf numFmtId="0" fontId="27" fillId="0" borderId="0" xfId="0" applyFont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1" fillId="5" borderId="11" xfId="0" applyFont="1" applyFill="1" applyBorder="1" applyAlignment="1">
      <alignment horizontal="center"/>
    </xf>
    <xf numFmtId="0" fontId="21" fillId="5" borderId="21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22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left" vertical="center" wrapText="1"/>
    </xf>
    <xf numFmtId="3" fontId="6" fillId="0" borderId="17" xfId="0" applyNumberFormat="1" applyFont="1" applyFill="1" applyBorder="1" applyAlignment="1">
      <alignment horizontal="center" vertical="center"/>
    </xf>
    <xf numFmtId="3" fontId="6" fillId="0" borderId="16" xfId="0" applyNumberFormat="1" applyFont="1" applyFill="1" applyBorder="1" applyAlignment="1">
      <alignment horizontal="center" vertical="center"/>
    </xf>
    <xf numFmtId="3" fontId="6" fillId="0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21" fillId="5" borderId="19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5" borderId="21" xfId="0" applyFont="1" applyFill="1" applyBorder="1" applyAlignment="1">
      <alignment horizontal="center" wrapText="1"/>
    </xf>
    <xf numFmtId="0" fontId="21" fillId="5" borderId="15" xfId="0" applyFont="1" applyFill="1" applyBorder="1" applyAlignment="1">
      <alignment horizontal="center" wrapText="1"/>
    </xf>
    <xf numFmtId="0" fontId="21" fillId="5" borderId="22" xfId="0" applyFont="1" applyFill="1" applyBorder="1" applyAlignment="1">
      <alignment horizont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3" fontId="5" fillId="4" borderId="17" xfId="0" applyNumberFormat="1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3" fontId="5" fillId="4" borderId="4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4" borderId="50" xfId="0" applyNumberFormat="1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165" fontId="6" fillId="4" borderId="17" xfId="2" applyNumberFormat="1" applyFont="1" applyFill="1" applyBorder="1" applyAlignment="1">
      <alignment vertical="center" wrapText="1"/>
    </xf>
    <xf numFmtId="165" fontId="6" fillId="4" borderId="16" xfId="2" applyNumberFormat="1" applyFont="1" applyFill="1" applyBorder="1" applyAlignment="1">
      <alignment vertical="center" wrapText="1"/>
    </xf>
    <xf numFmtId="165" fontId="6" fillId="4" borderId="18" xfId="2" applyNumberFormat="1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wrapText="1"/>
    </xf>
    <xf numFmtId="0" fontId="5" fillId="0" borderId="52" xfId="0" applyFont="1" applyFill="1" applyBorder="1" applyAlignment="1">
      <alignment horizontal="left" vertical="center"/>
    </xf>
    <xf numFmtId="165" fontId="6" fillId="4" borderId="31" xfId="2" applyNumberFormat="1" applyFont="1" applyFill="1" applyBorder="1" applyAlignment="1">
      <alignment vertical="center" wrapText="1"/>
    </xf>
    <xf numFmtId="165" fontId="6" fillId="4" borderId="14" xfId="2" applyNumberFormat="1" applyFont="1" applyFill="1" applyBorder="1" applyAlignment="1">
      <alignment vertical="center" wrapText="1"/>
    </xf>
    <xf numFmtId="165" fontId="6" fillId="4" borderId="20" xfId="2" applyNumberFormat="1" applyFont="1" applyFill="1" applyBorder="1" applyAlignment="1">
      <alignment vertical="center" wrapText="1"/>
    </xf>
    <xf numFmtId="0" fontId="5" fillId="4" borderId="3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D/&#1055;&#1072;&#1088;&#1072;&#1075;&#1088;&#1072;&#1092;%207&#1084;&#1072;&#1103;2016/&#1080;&#1102;&#1083;&#1100;%202020/7&#1080;&#1102;&#1083;2020/&#1089;&#1090;&#1072;&#1090;&#1100;&#1103;%20910.00%20&#1086;&#1073;&#1085;&#1086;&#1074;&#1083;&#1077;&#1085;&#1080;&#1077;%202020/&#1089;&#1090;&#1072;&#1090;&#1100;&#1103;%20&#1087;&#1088;&#1080;&#1083;.910.00%20&#1056;&#1072;&#1093;&#1084;&#1072;&#1085;&#1086;&#1074;%20420199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№ 910 Декларация "/>
      <sheetName val="№ 1 доход ТОО"/>
      <sheetName val="№ 2.1 Начис. доходы работников"/>
      <sheetName val="№ 2.2 Начис.доходы работников"/>
      <sheetName val="№ 2.3 Начис. доходы работ"/>
      <sheetName val="№ 2.4 Начис. доходы работ"/>
      <sheetName val="№ 2.5 Начис. доходы работ. "/>
      <sheetName val="№ 2.6 Начис. доходы работ. "/>
      <sheetName val="№4 Дивиденды"/>
      <sheetName val="№3 договора ГПХ"/>
      <sheetName val="№ 4 договора ГПХ"/>
      <sheetName val="910.01"/>
    </sheetNames>
    <sheetDataSet>
      <sheetData sheetId="0"/>
      <sheetData sheetId="1">
        <row r="12">
          <cell r="L12">
            <v>1</v>
          </cell>
          <cell r="O12">
            <v>2020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abSelected="1" workbookViewId="0">
      <selection activeCell="B7" sqref="B7:O7"/>
    </sheetView>
  </sheetViews>
  <sheetFormatPr defaultRowHeight="12.75" x14ac:dyDescent="0.2"/>
  <cols>
    <col min="1" max="1" width="12.7109375" customWidth="1"/>
    <col min="2" max="2" width="23.7109375" customWidth="1"/>
  </cols>
  <sheetData>
    <row r="3" spans="1:15" ht="12.75" customHeight="1" x14ac:dyDescent="0.25">
      <c r="A3" s="1"/>
      <c r="B3" s="162" t="s">
        <v>182</v>
      </c>
      <c r="C3" s="162"/>
      <c r="D3" s="162"/>
      <c r="E3" s="162"/>
      <c r="F3" s="162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13.5" customHeight="1" x14ac:dyDescent="0.25">
      <c r="A5" s="1"/>
      <c r="B5" s="166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1:15" ht="70.5" customHeight="1" x14ac:dyDescent="0.2">
      <c r="A6" s="129"/>
      <c r="B6" s="163" t="s">
        <v>261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</row>
    <row r="7" spans="1:15" ht="21" customHeight="1" x14ac:dyDescent="0.2"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</row>
    <row r="8" spans="1:15" ht="12.75" customHeight="1" x14ac:dyDescent="0.25">
      <c r="A8" s="3"/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2" t="s">
        <v>85</v>
      </c>
      <c r="C10" s="63"/>
      <c r="D10" s="63"/>
      <c r="E10" s="63"/>
    </row>
    <row r="11" spans="1:15" x14ac:dyDescent="0.2">
      <c r="B11" s="64" t="s">
        <v>86</v>
      </c>
      <c r="C11" s="72">
        <v>42500</v>
      </c>
      <c r="D11" s="65"/>
      <c r="E11" s="66" t="s">
        <v>87</v>
      </c>
    </row>
    <row r="12" spans="1:15" x14ac:dyDescent="0.2">
      <c r="B12" s="64" t="s">
        <v>88</v>
      </c>
      <c r="C12" s="72">
        <v>2125000</v>
      </c>
      <c r="D12" s="65"/>
      <c r="E12" s="66" t="s">
        <v>87</v>
      </c>
    </row>
    <row r="13" spans="1:15" x14ac:dyDescent="0.2">
      <c r="B13" s="64" t="s">
        <v>89</v>
      </c>
      <c r="C13" s="72">
        <f>C12*0.1</f>
        <v>212500</v>
      </c>
      <c r="D13" s="65"/>
      <c r="E13" s="66" t="s">
        <v>87</v>
      </c>
    </row>
    <row r="14" spans="1:15" x14ac:dyDescent="0.2">
      <c r="B14" s="64" t="s">
        <v>90</v>
      </c>
      <c r="C14" s="72">
        <v>297500</v>
      </c>
      <c r="D14" s="65"/>
      <c r="E14" s="66" t="s">
        <v>87</v>
      </c>
    </row>
    <row r="15" spans="1:15" x14ac:dyDescent="0.2">
      <c r="B15" s="91" t="s">
        <v>145</v>
      </c>
      <c r="C15" s="108">
        <v>3.5000000000000003E-2</v>
      </c>
      <c r="D15" s="65"/>
      <c r="E15" s="66"/>
    </row>
    <row r="16" spans="1:15" x14ac:dyDescent="0.2">
      <c r="B16" s="64" t="s">
        <v>91</v>
      </c>
      <c r="C16" s="73">
        <f>C14*C15</f>
        <v>10412.500000000002</v>
      </c>
      <c r="D16" s="67"/>
      <c r="E16" s="66" t="s">
        <v>87</v>
      </c>
    </row>
    <row r="17" spans="2:5" x14ac:dyDescent="0.2">
      <c r="B17" s="91" t="s">
        <v>190</v>
      </c>
      <c r="C17" s="73">
        <v>425000</v>
      </c>
      <c r="D17" s="67"/>
      <c r="E17" s="66"/>
    </row>
    <row r="18" spans="2:5" x14ac:dyDescent="0.2">
      <c r="B18" s="91" t="s">
        <v>130</v>
      </c>
      <c r="C18" s="109">
        <v>0.02</v>
      </c>
      <c r="D18" s="67"/>
      <c r="E18" s="66"/>
    </row>
    <row r="19" spans="2:5" x14ac:dyDescent="0.2">
      <c r="B19" s="91" t="s">
        <v>131</v>
      </c>
      <c r="C19" s="73">
        <f>C17*C18</f>
        <v>8500</v>
      </c>
      <c r="D19" s="67"/>
      <c r="E19" s="66"/>
    </row>
    <row r="20" spans="2:5" ht="25.5" x14ac:dyDescent="0.2">
      <c r="B20" s="68" t="s">
        <v>92</v>
      </c>
      <c r="C20" s="74">
        <v>2778</v>
      </c>
      <c r="D20" s="69"/>
      <c r="E20" s="70" t="s">
        <v>87</v>
      </c>
    </row>
    <row r="21" spans="2:5" x14ac:dyDescent="0.2">
      <c r="B21" s="91" t="s">
        <v>189</v>
      </c>
      <c r="C21" s="73">
        <v>425000</v>
      </c>
      <c r="D21" s="67"/>
      <c r="E21" s="66"/>
    </row>
    <row r="22" spans="2:5" x14ac:dyDescent="0.2">
      <c r="B22" s="91" t="s">
        <v>191</v>
      </c>
      <c r="C22" s="109">
        <v>0.01</v>
      </c>
      <c r="D22" s="67"/>
      <c r="E22" s="66"/>
    </row>
    <row r="23" spans="2:5" x14ac:dyDescent="0.2">
      <c r="B23" s="91" t="s">
        <v>131</v>
      </c>
      <c r="C23" s="73">
        <f>C21*C22</f>
        <v>4250</v>
      </c>
      <c r="D23" s="67"/>
      <c r="E23" s="66"/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S155"/>
  <sheetViews>
    <sheetView topLeftCell="A36" workbookViewId="0">
      <selection activeCell="Q69" sqref="Q69"/>
    </sheetView>
  </sheetViews>
  <sheetFormatPr defaultColWidth="9.140625"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9.28515625" style="5" customWidth="1"/>
    <col min="18" max="16384" width="9.140625" style="5"/>
  </cols>
  <sheetData>
    <row r="2" spans="1:16" x14ac:dyDescent="0.25">
      <c r="N2" s="228" t="s">
        <v>14</v>
      </c>
      <c r="O2" s="228"/>
      <c r="P2" s="228"/>
    </row>
    <row r="4" spans="1:16" x14ac:dyDescent="0.25">
      <c r="B4" s="24" t="s">
        <v>213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229" t="s">
        <v>0</v>
      </c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20"/>
      <c r="D8" s="121"/>
      <c r="E8" s="120"/>
      <c r="F8" s="120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/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230" t="s">
        <v>18</v>
      </c>
      <c r="K12" s="230"/>
      <c r="L12" s="92">
        <v>2</v>
      </c>
      <c r="M12" s="10"/>
      <c r="N12" s="10" t="s">
        <v>12</v>
      </c>
      <c r="O12" s="92">
        <v>2020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3" t="s">
        <v>4</v>
      </c>
      <c r="D16" s="285" t="s">
        <v>146</v>
      </c>
      <c r="E16" s="286"/>
      <c r="F16" s="286"/>
      <c r="G16" s="286"/>
      <c r="H16" s="286"/>
      <c r="I16" s="286"/>
      <c r="J16" s="25"/>
      <c r="K16" s="11"/>
      <c r="L16" s="10"/>
      <c r="M16" s="93" t="s">
        <v>8</v>
      </c>
      <c r="N16" s="232" t="s">
        <v>147</v>
      </c>
      <c r="O16" s="233"/>
      <c r="P16" s="15" t="s">
        <v>180</v>
      </c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32"/>
      <c r="O17" s="233"/>
      <c r="P17" s="4"/>
    </row>
    <row r="18" spans="1:17" ht="52.5" customHeight="1" thickBot="1" x14ac:dyDescent="0.3">
      <c r="A18" s="9"/>
      <c r="B18" s="10"/>
      <c r="C18" s="93" t="s">
        <v>7</v>
      </c>
      <c r="D18" s="285" t="s">
        <v>149</v>
      </c>
      <c r="E18" s="286"/>
      <c r="F18" s="286"/>
      <c r="G18" s="286"/>
      <c r="H18" s="286"/>
      <c r="I18" s="286"/>
      <c r="J18" s="10"/>
      <c r="K18" s="11"/>
      <c r="L18" s="10"/>
      <c r="M18" s="93" t="s">
        <v>9</v>
      </c>
      <c r="N18" s="232" t="s">
        <v>148</v>
      </c>
      <c r="O18" s="233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151</v>
      </c>
      <c r="C20" s="10"/>
      <c r="D20" s="110" t="s">
        <v>152</v>
      </c>
      <c r="E20" s="23" t="s">
        <v>11</v>
      </c>
      <c r="F20" s="28"/>
      <c r="G20" s="231" t="s">
        <v>21</v>
      </c>
      <c r="H20" s="231"/>
      <c r="I20" s="231"/>
      <c r="J20" s="231"/>
      <c r="K20" s="231"/>
      <c r="L20" s="13"/>
      <c r="M20" s="230"/>
      <c r="N20" s="230"/>
      <c r="O20" s="230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230" t="s">
        <v>2</v>
      </c>
      <c r="F22" s="230"/>
      <c r="G22" s="16"/>
      <c r="H22" s="16" t="s">
        <v>150</v>
      </c>
      <c r="I22" s="16"/>
      <c r="J22" s="288" t="s">
        <v>3</v>
      </c>
      <c r="K22" s="288"/>
      <c r="L22" s="288"/>
      <c r="M22" s="101"/>
      <c r="N22" s="10" t="s">
        <v>22</v>
      </c>
      <c r="O22" s="10"/>
      <c r="P22" s="32"/>
    </row>
    <row r="23" spans="1:17" ht="27" customHeight="1" x14ac:dyDescent="0.25">
      <c r="A23" s="10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3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3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239"/>
      <c r="C28" s="239"/>
      <c r="D28" s="239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167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6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3" t="s">
        <v>4</v>
      </c>
      <c r="F31" s="10"/>
      <c r="G31" s="10" t="s">
        <v>29</v>
      </c>
      <c r="H31" s="10"/>
      <c r="I31" s="10"/>
      <c r="J31" s="11" t="s">
        <v>168</v>
      </c>
      <c r="L31" s="10"/>
      <c r="M31" s="10"/>
      <c r="N31" s="93" t="s">
        <v>7</v>
      </c>
      <c r="O31" s="10" t="s">
        <v>28</v>
      </c>
      <c r="P31" s="11"/>
    </row>
    <row r="32" spans="1:17" x14ac:dyDescent="0.25">
      <c r="A32" s="10"/>
      <c r="B32" s="112" t="s">
        <v>20</v>
      </c>
      <c r="C32" s="113" t="s">
        <v>11</v>
      </c>
      <c r="D32" s="111"/>
      <c r="E32" s="111" t="s">
        <v>21</v>
      </c>
      <c r="F32" s="111"/>
      <c r="G32" s="111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50" t="s">
        <v>30</v>
      </c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2"/>
    </row>
    <row r="34" spans="1:17" ht="15.75" thickBot="1" x14ac:dyDescent="0.3">
      <c r="A34" s="253"/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5"/>
    </row>
    <row r="35" spans="1:17" s="114" customFormat="1" ht="26.25" customHeight="1" thickBot="1" x14ac:dyDescent="0.25">
      <c r="A35" s="242" t="s">
        <v>6</v>
      </c>
      <c r="B35" s="243"/>
      <c r="C35" s="246" t="s">
        <v>153</v>
      </c>
      <c r="D35" s="247"/>
      <c r="E35" s="247"/>
      <c r="F35" s="247"/>
      <c r="G35" s="247"/>
      <c r="H35" s="247"/>
      <c r="I35" s="247"/>
      <c r="J35" s="247"/>
      <c r="K35" s="247"/>
      <c r="L35" s="248"/>
      <c r="M35" s="243" t="s">
        <v>5</v>
      </c>
      <c r="N35" s="243"/>
      <c r="O35" s="243"/>
      <c r="P35" s="249"/>
    </row>
    <row r="36" spans="1:17" x14ac:dyDescent="0.25">
      <c r="A36" s="207" t="s">
        <v>31</v>
      </c>
      <c r="B36" s="208"/>
      <c r="C36" s="287" t="s">
        <v>166</v>
      </c>
      <c r="D36" s="287"/>
      <c r="E36" s="287"/>
      <c r="F36" s="287"/>
      <c r="G36" s="287"/>
      <c r="H36" s="287"/>
      <c r="I36" s="287"/>
      <c r="J36" s="287"/>
      <c r="K36" s="287"/>
      <c r="L36" s="287"/>
      <c r="M36" s="235">
        <f>'№ 1 доход ИП '!C21</f>
        <v>25300600</v>
      </c>
      <c r="N36" s="235"/>
      <c r="O36" s="235"/>
      <c r="P36" s="236"/>
    </row>
    <row r="37" spans="1:17" x14ac:dyDescent="0.25">
      <c r="A37" s="204"/>
      <c r="B37" s="205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37"/>
      <c r="N37" s="237"/>
      <c r="O37" s="237"/>
      <c r="P37" s="238"/>
    </row>
    <row r="38" spans="1:17" x14ac:dyDescent="0.25">
      <c r="A38" s="159"/>
      <c r="B38" s="160"/>
      <c r="C38" s="157" t="s">
        <v>198</v>
      </c>
      <c r="D38" s="158" t="s">
        <v>269</v>
      </c>
      <c r="E38" s="158"/>
      <c r="F38" s="158"/>
      <c r="G38" s="158"/>
      <c r="H38" s="158"/>
      <c r="I38" s="158"/>
      <c r="J38" s="158"/>
      <c r="K38" s="158"/>
      <c r="L38" s="161"/>
      <c r="M38" s="296">
        <v>22800600</v>
      </c>
      <c r="N38" s="297"/>
      <c r="O38" s="297"/>
      <c r="P38" s="298"/>
    </row>
    <row r="39" spans="1:17" x14ac:dyDescent="0.25">
      <c r="A39" s="159"/>
      <c r="B39" s="160"/>
      <c r="C39" s="157"/>
      <c r="D39" s="158" t="s">
        <v>109</v>
      </c>
      <c r="E39" s="158" t="s">
        <v>271</v>
      </c>
      <c r="F39" s="158"/>
      <c r="G39" s="158"/>
      <c r="H39" s="158"/>
      <c r="I39" s="158"/>
      <c r="J39" s="158"/>
      <c r="K39" s="158"/>
      <c r="L39" s="161"/>
      <c r="M39" s="296">
        <v>22800600</v>
      </c>
      <c r="N39" s="297"/>
      <c r="O39" s="297"/>
      <c r="P39" s="298"/>
    </row>
    <row r="40" spans="1:17" x14ac:dyDescent="0.25">
      <c r="A40" s="159"/>
      <c r="B40" s="160"/>
      <c r="C40" s="157" t="s">
        <v>199</v>
      </c>
      <c r="D40" s="158" t="s">
        <v>270</v>
      </c>
      <c r="E40" s="158"/>
      <c r="F40" s="158"/>
      <c r="G40" s="158"/>
      <c r="H40" s="158"/>
      <c r="I40" s="158"/>
      <c r="J40" s="158"/>
      <c r="K40" s="158"/>
      <c r="L40" s="161"/>
      <c r="M40" s="296">
        <v>2500000</v>
      </c>
      <c r="N40" s="297"/>
      <c r="O40" s="297"/>
      <c r="P40" s="298"/>
    </row>
    <row r="41" spans="1:17" x14ac:dyDescent="0.25">
      <c r="A41" s="159"/>
      <c r="B41" s="160"/>
      <c r="C41" s="157"/>
      <c r="D41" s="158" t="s">
        <v>109</v>
      </c>
      <c r="E41" s="158" t="s">
        <v>271</v>
      </c>
      <c r="F41" s="158"/>
      <c r="G41" s="158"/>
      <c r="H41" s="158"/>
      <c r="I41" s="158"/>
      <c r="J41" s="158"/>
      <c r="K41" s="158"/>
      <c r="L41" s="161"/>
      <c r="M41" s="296">
        <v>2500000</v>
      </c>
      <c r="N41" s="297"/>
      <c r="O41" s="297"/>
      <c r="P41" s="298"/>
    </row>
    <row r="42" spans="1:17" x14ac:dyDescent="0.25">
      <c r="A42" s="204" t="s">
        <v>32</v>
      </c>
      <c r="B42" s="205"/>
      <c r="C42" s="209" t="s">
        <v>40</v>
      </c>
      <c r="D42" s="210"/>
      <c r="E42" s="210"/>
      <c r="F42" s="210"/>
      <c r="G42" s="210"/>
      <c r="H42" s="210"/>
      <c r="I42" s="210"/>
      <c r="J42" s="210"/>
      <c r="K42" s="210"/>
      <c r="L42" s="211"/>
      <c r="M42" s="240"/>
      <c r="N42" s="240"/>
      <c r="O42" s="240"/>
      <c r="P42" s="241"/>
    </row>
    <row r="43" spans="1:17" x14ac:dyDescent="0.25">
      <c r="A43" s="204"/>
      <c r="B43" s="205"/>
      <c r="C43" s="212"/>
      <c r="D43" s="213"/>
      <c r="E43" s="213"/>
      <c r="F43" s="213"/>
      <c r="G43" s="213"/>
      <c r="H43" s="213"/>
      <c r="I43" s="213"/>
      <c r="J43" s="213"/>
      <c r="K43" s="213"/>
      <c r="L43" s="214"/>
      <c r="M43" s="240"/>
      <c r="N43" s="240"/>
      <c r="O43" s="240"/>
      <c r="P43" s="241"/>
    </row>
    <row r="44" spans="1:17" x14ac:dyDescent="0.25">
      <c r="A44" s="204" t="s">
        <v>33</v>
      </c>
      <c r="B44" s="205"/>
      <c r="C44" s="218" t="s">
        <v>105</v>
      </c>
      <c r="D44" s="218"/>
      <c r="E44" s="218"/>
      <c r="F44" s="218"/>
      <c r="G44" s="218"/>
      <c r="H44" s="218"/>
      <c r="I44" s="218"/>
      <c r="J44" s="218"/>
      <c r="K44" s="218"/>
      <c r="L44" s="218"/>
      <c r="M44" s="244">
        <f>ROUND(('№ 2.1 Начис. доходы работников'!V26+'№ 2.2 Начис.доходы работников'!V26+'№ 2.3 Начис. доходы работ'!V26+'№ 2.4 Начис. доходы работ'!V26+'№ 2.5 Начис. доходы работ. '!V26+'№ 2.6 Начис. доходы работ. '!V26)/6,0)</f>
        <v>3</v>
      </c>
      <c r="N44" s="244"/>
      <c r="O44" s="244"/>
      <c r="P44" s="245"/>
    </row>
    <row r="45" spans="1:17" x14ac:dyDescent="0.25">
      <c r="A45" s="204"/>
      <c r="B45" s="205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44"/>
      <c r="N45" s="244"/>
      <c r="O45" s="244"/>
      <c r="P45" s="245"/>
    </row>
    <row r="46" spans="1:17" ht="23.25" customHeight="1" x14ac:dyDescent="0.25">
      <c r="A46" s="188"/>
      <c r="B46" s="189"/>
      <c r="C46" s="84" t="s">
        <v>4</v>
      </c>
      <c r="D46" s="289" t="s">
        <v>125</v>
      </c>
      <c r="E46" s="289"/>
      <c r="F46" s="289"/>
      <c r="G46" s="289"/>
      <c r="H46" s="289"/>
      <c r="I46" s="289"/>
      <c r="J46" s="289"/>
      <c r="K46" s="289"/>
      <c r="L46" s="290"/>
      <c r="M46" s="291">
        <f>ROUND(('№ 2.1 Начис. доходы работников'!N26+'№ 2.2 Начис.доходы работников'!M25+'№ 2.3 Начис. доходы работ'!L25+'№ 2.4 Начис. доходы работ'!L25+'№ 2.5 Начис. доходы работ. '!L25+'№ 2.6 Начис. доходы работ. '!L25)/6,0)</f>
        <v>0</v>
      </c>
      <c r="N46" s="291"/>
      <c r="O46" s="291"/>
      <c r="P46" s="292"/>
      <c r="Q46" s="115" t="s">
        <v>127</v>
      </c>
    </row>
    <row r="47" spans="1:17" x14ac:dyDescent="0.25">
      <c r="A47" s="190"/>
      <c r="B47" s="191"/>
      <c r="C47" s="84"/>
      <c r="D47" s="85"/>
      <c r="E47" s="85"/>
      <c r="F47" s="85"/>
      <c r="G47" s="85"/>
      <c r="H47" s="105"/>
      <c r="I47" s="85"/>
      <c r="J47" s="85"/>
      <c r="K47" s="85"/>
      <c r="L47" s="105"/>
      <c r="M47" s="117"/>
      <c r="N47" s="118"/>
      <c r="O47" s="118"/>
      <c r="P47" s="119"/>
      <c r="Q47" s="116"/>
    </row>
    <row r="48" spans="1:17" ht="24.75" x14ac:dyDescent="0.25">
      <c r="A48" s="190"/>
      <c r="B48" s="191"/>
      <c r="C48" s="84" t="s">
        <v>7</v>
      </c>
      <c r="D48" s="289" t="s">
        <v>126</v>
      </c>
      <c r="E48" s="289"/>
      <c r="F48" s="289"/>
      <c r="G48" s="289"/>
      <c r="H48" s="289"/>
      <c r="I48" s="289"/>
      <c r="J48" s="289"/>
      <c r="K48" s="289"/>
      <c r="L48" s="290"/>
      <c r="M48" s="293"/>
      <c r="N48" s="294"/>
      <c r="O48" s="294"/>
      <c r="P48" s="295"/>
      <c r="Q48" s="115" t="s">
        <v>128</v>
      </c>
    </row>
    <row r="49" spans="1:19" x14ac:dyDescent="0.25">
      <c r="A49" s="190"/>
      <c r="B49" s="191"/>
      <c r="C49" s="84"/>
      <c r="D49" s="85"/>
      <c r="E49" s="85"/>
      <c r="F49" s="85"/>
      <c r="G49" s="85"/>
      <c r="H49" s="105"/>
      <c r="I49" s="85"/>
      <c r="J49" s="85"/>
      <c r="K49" s="85"/>
      <c r="L49" s="105"/>
      <c r="M49" s="117"/>
      <c r="N49" s="118"/>
      <c r="O49" s="118"/>
      <c r="P49" s="119"/>
    </row>
    <row r="50" spans="1:19" ht="29.25" customHeight="1" x14ac:dyDescent="0.25">
      <c r="A50" s="188" t="s">
        <v>34</v>
      </c>
      <c r="B50" s="189"/>
      <c r="C50" s="263" t="s">
        <v>181</v>
      </c>
      <c r="D50" s="264"/>
      <c r="E50" s="264"/>
      <c r="F50" s="264"/>
      <c r="G50" s="264"/>
      <c r="H50" s="264"/>
      <c r="I50" s="264"/>
      <c r="J50" s="264"/>
      <c r="K50" s="264"/>
      <c r="L50" s="265"/>
      <c r="M50" s="269">
        <f>('№ 2.1 Начис. доходы работников'!AC26+'№ 2.2 Начис.доходы работников'!AC26+'№ 2.3 Начис. доходы работ'!AC26+'№ 2.4 Начис. доходы работ'!AC26+'№ 2.5 Начис. доходы работ. '!AC26+'№ 2.6 Начис. доходы работ. '!AC26)/6</f>
        <v>90000</v>
      </c>
      <c r="N50" s="269"/>
      <c r="O50" s="269"/>
      <c r="P50" s="270"/>
      <c r="Q50" s="260"/>
    </row>
    <row r="51" spans="1:19" x14ac:dyDescent="0.25">
      <c r="A51" s="261"/>
      <c r="B51" s="262"/>
      <c r="C51" s="266"/>
      <c r="D51" s="267"/>
      <c r="E51" s="267"/>
      <c r="F51" s="267"/>
      <c r="G51" s="267"/>
      <c r="H51" s="267"/>
      <c r="I51" s="267"/>
      <c r="J51" s="267"/>
      <c r="K51" s="267"/>
      <c r="L51" s="268"/>
      <c r="M51" s="244"/>
      <c r="N51" s="244"/>
      <c r="O51" s="244"/>
      <c r="P51" s="245"/>
      <c r="Q51" s="260"/>
    </row>
    <row r="52" spans="1:19" x14ac:dyDescent="0.25">
      <c r="A52" s="204" t="s">
        <v>35</v>
      </c>
      <c r="B52" s="205"/>
      <c r="C52" s="271" t="s">
        <v>41</v>
      </c>
      <c r="D52" s="271"/>
      <c r="E52" s="271"/>
      <c r="F52" s="271"/>
      <c r="G52" s="271"/>
      <c r="H52" s="271"/>
      <c r="I52" s="271"/>
      <c r="J52" s="271"/>
      <c r="K52" s="271"/>
      <c r="L52" s="271"/>
      <c r="M52" s="237">
        <f>ROUND(M36*3%,0)</f>
        <v>759018</v>
      </c>
      <c r="N52" s="237"/>
      <c r="O52" s="237"/>
      <c r="P52" s="238"/>
    </row>
    <row r="53" spans="1:19" x14ac:dyDescent="0.25">
      <c r="A53" s="204"/>
      <c r="B53" s="205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37"/>
      <c r="N53" s="237"/>
      <c r="O53" s="237"/>
      <c r="P53" s="238"/>
    </row>
    <row r="54" spans="1:19" ht="12.75" customHeight="1" x14ac:dyDescent="0.25">
      <c r="A54" s="204" t="s">
        <v>36</v>
      </c>
      <c r="B54" s="205"/>
      <c r="C54" s="218" t="s">
        <v>154</v>
      </c>
      <c r="D54" s="218"/>
      <c r="E54" s="218"/>
      <c r="F54" s="218"/>
      <c r="G54" s="218"/>
      <c r="H54" s="218"/>
      <c r="I54" s="218"/>
      <c r="J54" s="218"/>
      <c r="K54" s="218"/>
      <c r="L54" s="218"/>
      <c r="M54" s="237">
        <f>ROUND((IF(M50&gt;=23*введение!C20,M52*(M44)*0.015,0)),0)</f>
        <v>34156</v>
      </c>
      <c r="N54" s="237"/>
      <c r="O54" s="237"/>
      <c r="P54" s="238"/>
    </row>
    <row r="55" spans="1:19" ht="14.25" customHeight="1" x14ac:dyDescent="0.25">
      <c r="A55" s="204"/>
      <c r="B55" s="205"/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237"/>
      <c r="N55" s="237"/>
      <c r="O55" s="237"/>
      <c r="P55" s="238"/>
    </row>
    <row r="56" spans="1:19" x14ac:dyDescent="0.25">
      <c r="A56" s="204" t="s">
        <v>37</v>
      </c>
      <c r="B56" s="205"/>
      <c r="C56" s="218" t="s">
        <v>42</v>
      </c>
      <c r="D56" s="218"/>
      <c r="E56" s="218"/>
      <c r="F56" s="218"/>
      <c r="G56" s="218"/>
      <c r="H56" s="218"/>
      <c r="I56" s="218"/>
      <c r="J56" s="218"/>
      <c r="K56" s="218"/>
      <c r="L56" s="218"/>
      <c r="M56" s="237">
        <f>M52-M54</f>
        <v>724862</v>
      </c>
      <c r="N56" s="237"/>
      <c r="O56" s="237"/>
      <c r="P56" s="238"/>
    </row>
    <row r="57" spans="1:19" ht="16.5" customHeight="1" x14ac:dyDescent="0.25">
      <c r="A57" s="204"/>
      <c r="B57" s="205"/>
      <c r="C57" s="218"/>
      <c r="D57" s="218"/>
      <c r="E57" s="218"/>
      <c r="F57" s="218"/>
      <c r="G57" s="218"/>
      <c r="H57" s="218"/>
      <c r="I57" s="218"/>
      <c r="J57" s="218"/>
      <c r="K57" s="218"/>
      <c r="L57" s="218"/>
      <c r="M57" s="237"/>
      <c r="N57" s="237"/>
      <c r="O57" s="237"/>
      <c r="P57" s="238"/>
    </row>
    <row r="58" spans="1:19" x14ac:dyDescent="0.25">
      <c r="A58" s="204" t="s">
        <v>38</v>
      </c>
      <c r="B58" s="205"/>
      <c r="C58" s="218" t="s">
        <v>43</v>
      </c>
      <c r="D58" s="218"/>
      <c r="E58" s="218"/>
      <c r="F58" s="218"/>
      <c r="G58" s="218"/>
      <c r="H58" s="218"/>
      <c r="I58" s="218"/>
      <c r="J58" s="218"/>
      <c r="K58" s="218"/>
      <c r="L58" s="218"/>
      <c r="M58" s="237">
        <f>ROUND(M56*0.5,0)</f>
        <v>362431</v>
      </c>
      <c r="N58" s="237"/>
      <c r="O58" s="237"/>
      <c r="P58" s="238"/>
    </row>
    <row r="59" spans="1:19" ht="12.95" customHeight="1" x14ac:dyDescent="0.25">
      <c r="A59" s="204"/>
      <c r="B59" s="205"/>
      <c r="C59" s="218"/>
      <c r="D59" s="218"/>
      <c r="E59" s="218"/>
      <c r="F59" s="218"/>
      <c r="G59" s="218"/>
      <c r="H59" s="218"/>
      <c r="I59" s="218"/>
      <c r="J59" s="218"/>
      <c r="K59" s="218"/>
      <c r="L59" s="218"/>
      <c r="M59" s="237"/>
      <c r="N59" s="237"/>
      <c r="O59" s="237"/>
      <c r="P59" s="238"/>
    </row>
    <row r="60" spans="1:19" ht="12.75" customHeight="1" x14ac:dyDescent="0.25">
      <c r="A60" s="204" t="s">
        <v>39</v>
      </c>
      <c r="B60" s="205"/>
      <c r="C60" s="256" t="s">
        <v>155</v>
      </c>
      <c r="D60" s="256"/>
      <c r="E60" s="256"/>
      <c r="F60" s="256"/>
      <c r="G60" s="256"/>
      <c r="H60" s="256"/>
      <c r="I60" s="256"/>
      <c r="J60" s="256"/>
      <c r="K60" s="256"/>
      <c r="L60" s="256"/>
      <c r="M60" s="237">
        <f>ROUND((IF((M56*0.5-M77-M114)&gt;0,M56*0.5-M77-M114,0)),0)</f>
        <v>295021</v>
      </c>
      <c r="N60" s="237"/>
      <c r="O60" s="237"/>
      <c r="P60" s="238"/>
      <c r="Q60" s="167" t="s">
        <v>272</v>
      </c>
      <c r="R60" s="168"/>
      <c r="S60" s="168"/>
    </row>
    <row r="61" spans="1:19" ht="14.25" customHeight="1" x14ac:dyDescent="0.25">
      <c r="A61" s="204"/>
      <c r="B61" s="205"/>
      <c r="C61" s="218"/>
      <c r="D61" s="218"/>
      <c r="E61" s="218"/>
      <c r="F61" s="218"/>
      <c r="G61" s="218"/>
      <c r="H61" s="218"/>
      <c r="I61" s="218"/>
      <c r="J61" s="218"/>
      <c r="K61" s="218"/>
      <c r="L61" s="218"/>
      <c r="M61" s="237"/>
      <c r="N61" s="237"/>
      <c r="O61" s="237"/>
      <c r="P61" s="238"/>
      <c r="Q61" s="167"/>
      <c r="R61" s="168"/>
      <c r="S61" s="168"/>
    </row>
    <row r="62" spans="1:19" ht="12.75" customHeight="1" x14ac:dyDescent="0.25">
      <c r="A62" s="204" t="s">
        <v>45</v>
      </c>
      <c r="B62" s="205"/>
      <c r="C62" s="256" t="s">
        <v>192</v>
      </c>
      <c r="D62" s="256"/>
      <c r="E62" s="256"/>
      <c r="F62" s="256"/>
      <c r="G62" s="256"/>
      <c r="H62" s="256"/>
      <c r="I62" s="256"/>
      <c r="J62" s="256"/>
      <c r="K62" s="256"/>
      <c r="L62" s="256"/>
      <c r="M62" s="312">
        <v>60000</v>
      </c>
      <c r="N62" s="313"/>
      <c r="O62" s="313"/>
      <c r="P62" s="314"/>
      <c r="Q62" s="167"/>
      <c r="R62" s="168"/>
      <c r="S62" s="168"/>
    </row>
    <row r="63" spans="1:19" ht="36" customHeight="1" x14ac:dyDescent="0.25">
      <c r="A63" s="204"/>
      <c r="B63" s="205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315"/>
      <c r="N63" s="316"/>
      <c r="O63" s="316"/>
      <c r="P63" s="317"/>
      <c r="Q63" s="167"/>
      <c r="R63" s="168"/>
      <c r="S63" s="168"/>
    </row>
    <row r="64" spans="1:19" ht="18" customHeight="1" x14ac:dyDescent="0.25">
      <c r="A64" s="204" t="s">
        <v>46</v>
      </c>
      <c r="B64" s="205"/>
      <c r="C64" s="256" t="s">
        <v>193</v>
      </c>
      <c r="D64" s="256"/>
      <c r="E64" s="256"/>
      <c r="F64" s="256"/>
      <c r="G64" s="256"/>
      <c r="H64" s="256"/>
      <c r="I64" s="256"/>
      <c r="J64" s="256"/>
      <c r="K64" s="256"/>
      <c r="L64" s="256"/>
      <c r="M64" s="237">
        <f>M58-M62</f>
        <v>302431</v>
      </c>
      <c r="N64" s="237"/>
      <c r="O64" s="237"/>
      <c r="P64" s="238"/>
      <c r="Q64" s="167"/>
      <c r="R64" s="168"/>
      <c r="S64" s="168"/>
    </row>
    <row r="65" spans="1:19" ht="13.5" customHeight="1" thickBot="1" x14ac:dyDescent="0.3">
      <c r="A65" s="204"/>
      <c r="B65" s="205"/>
      <c r="C65" s="218"/>
      <c r="D65" s="218"/>
      <c r="E65" s="218"/>
      <c r="F65" s="218"/>
      <c r="G65" s="218"/>
      <c r="H65" s="218"/>
      <c r="I65" s="218"/>
      <c r="J65" s="218"/>
      <c r="K65" s="218"/>
      <c r="L65" s="218"/>
      <c r="M65" s="237"/>
      <c r="N65" s="237"/>
      <c r="O65" s="237"/>
      <c r="P65" s="238"/>
      <c r="Q65" s="167"/>
      <c r="R65" s="168"/>
      <c r="S65" s="168"/>
    </row>
    <row r="66" spans="1:19" x14ac:dyDescent="0.25">
      <c r="A66" s="215" t="s">
        <v>44</v>
      </c>
      <c r="B66" s="216"/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7"/>
      <c r="Q66" s="167"/>
      <c r="R66" s="168"/>
      <c r="S66" s="168"/>
    </row>
    <row r="67" spans="1:19" ht="15.75" thickBot="1" x14ac:dyDescent="0.3">
      <c r="A67" s="219"/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1"/>
      <c r="Q67" s="167"/>
      <c r="R67" s="168"/>
      <c r="S67" s="168"/>
    </row>
    <row r="68" spans="1:19" ht="26.25" customHeight="1" x14ac:dyDescent="0.25">
      <c r="A68" s="204" t="s">
        <v>47</v>
      </c>
      <c r="B68" s="205"/>
      <c r="C68" s="177" t="s">
        <v>144</v>
      </c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9"/>
      <c r="Q68" s="167"/>
      <c r="R68" s="168"/>
      <c r="S68" s="168"/>
    </row>
    <row r="69" spans="1:19" ht="26.25" customHeight="1" x14ac:dyDescent="0.25">
      <c r="A69" s="180" t="s">
        <v>106</v>
      </c>
      <c r="B69" s="181"/>
      <c r="C69" s="77" t="s">
        <v>109</v>
      </c>
      <c r="D69" s="182">
        <f>'№ 1 доход ИП '!G14</f>
        <v>150000</v>
      </c>
      <c r="E69" s="196"/>
      <c r="F69" s="196"/>
      <c r="G69" s="196"/>
      <c r="H69" s="196"/>
      <c r="I69" s="197"/>
      <c r="J69" s="180" t="s">
        <v>112</v>
      </c>
      <c r="K69" s="181"/>
      <c r="L69" s="123" t="s">
        <v>115</v>
      </c>
      <c r="M69" s="198">
        <f>'№ 1 доход ИП '!G17</f>
        <v>150000</v>
      </c>
      <c r="N69" s="199"/>
      <c r="O69" s="199"/>
      <c r="P69" s="200"/>
      <c r="Q69" s="122"/>
    </row>
    <row r="70" spans="1:19" ht="26.25" customHeight="1" x14ac:dyDescent="0.25">
      <c r="A70" s="180" t="s">
        <v>107</v>
      </c>
      <c r="B70" s="181"/>
      <c r="C70" s="77" t="s">
        <v>110</v>
      </c>
      <c r="D70" s="182">
        <f>'№ 1 доход ИП '!G15</f>
        <v>150000</v>
      </c>
      <c r="E70" s="196"/>
      <c r="F70" s="196"/>
      <c r="G70" s="196"/>
      <c r="H70" s="196"/>
      <c r="I70" s="197"/>
      <c r="J70" s="180" t="s">
        <v>113</v>
      </c>
      <c r="K70" s="181"/>
      <c r="L70" s="123" t="s">
        <v>116</v>
      </c>
      <c r="M70" s="198">
        <f>'№ 1 доход ИП '!G18</f>
        <v>150000</v>
      </c>
      <c r="N70" s="199"/>
      <c r="O70" s="199"/>
      <c r="P70" s="200"/>
      <c r="Q70" s="71"/>
    </row>
    <row r="71" spans="1:19" ht="26.25" customHeight="1" x14ac:dyDescent="0.25">
      <c r="A71" s="180" t="s">
        <v>108</v>
      </c>
      <c r="B71" s="181"/>
      <c r="C71" s="77" t="s">
        <v>111</v>
      </c>
      <c r="D71" s="182">
        <f>'№ 1 доход ИП '!G16</f>
        <v>150000</v>
      </c>
      <c r="E71" s="196"/>
      <c r="F71" s="196"/>
      <c r="G71" s="196"/>
      <c r="H71" s="196"/>
      <c r="I71" s="197"/>
      <c r="J71" s="180" t="s">
        <v>114</v>
      </c>
      <c r="K71" s="181"/>
      <c r="L71" s="123" t="s">
        <v>117</v>
      </c>
      <c r="M71" s="198">
        <f>'№ 1 доход ИП '!G19</f>
        <v>150000</v>
      </c>
      <c r="N71" s="199"/>
      <c r="O71" s="199"/>
      <c r="P71" s="200"/>
      <c r="Q71" s="71"/>
    </row>
    <row r="72" spans="1:19" ht="26.25" customHeight="1" thickBot="1" x14ac:dyDescent="0.3">
      <c r="A72" s="186"/>
      <c r="B72" s="187"/>
      <c r="C72" s="278" t="s">
        <v>118</v>
      </c>
      <c r="D72" s="279"/>
      <c r="E72" s="279"/>
      <c r="F72" s="279"/>
      <c r="G72" s="279"/>
      <c r="H72" s="279"/>
      <c r="I72" s="279"/>
      <c r="J72" s="279"/>
      <c r="K72" s="280"/>
      <c r="L72" s="104" t="s">
        <v>156</v>
      </c>
      <c r="M72" s="193">
        <f>D69+D70+D71+M69+M70+M71</f>
        <v>900000</v>
      </c>
      <c r="N72" s="194"/>
      <c r="O72" s="194"/>
      <c r="P72" s="195"/>
      <c r="Q72" s="71"/>
    </row>
    <row r="73" spans="1:19" ht="26.25" customHeight="1" x14ac:dyDescent="0.25">
      <c r="A73" s="204" t="s">
        <v>48</v>
      </c>
      <c r="B73" s="205"/>
      <c r="C73" s="177" t="s">
        <v>157</v>
      </c>
      <c r="D73" s="178"/>
      <c r="E73" s="178"/>
      <c r="F73" s="178"/>
      <c r="G73" s="178"/>
      <c r="H73" s="178"/>
      <c r="I73" s="178"/>
      <c r="J73" s="178"/>
      <c r="K73" s="178"/>
      <c r="L73" s="178"/>
      <c r="M73" s="178" t="e">
        <f>#REF!</f>
        <v>#REF!</v>
      </c>
      <c r="N73" s="178"/>
      <c r="O73" s="178"/>
      <c r="P73" s="179"/>
      <c r="Q73" s="71"/>
    </row>
    <row r="74" spans="1:19" ht="26.25" customHeight="1" x14ac:dyDescent="0.25">
      <c r="A74" s="180" t="s">
        <v>106</v>
      </c>
      <c r="B74" s="181"/>
      <c r="C74" s="77" t="s">
        <v>109</v>
      </c>
      <c r="D74" s="206">
        <f>D69*введение!$C$15</f>
        <v>5250.0000000000009</v>
      </c>
      <c r="E74" s="196"/>
      <c r="F74" s="196"/>
      <c r="G74" s="196"/>
      <c r="H74" s="196"/>
      <c r="I74" s="197"/>
      <c r="J74" s="180" t="s">
        <v>112</v>
      </c>
      <c r="K74" s="181"/>
      <c r="L74" s="77" t="s">
        <v>115</v>
      </c>
      <c r="M74" s="201">
        <f>M69*введение!$C$15</f>
        <v>5250.0000000000009</v>
      </c>
      <c r="N74" s="202"/>
      <c r="O74" s="202"/>
      <c r="P74" s="203"/>
      <c r="Q74" s="71"/>
    </row>
    <row r="75" spans="1:19" ht="26.25" customHeight="1" x14ac:dyDescent="0.25">
      <c r="A75" s="180" t="s">
        <v>107</v>
      </c>
      <c r="B75" s="181"/>
      <c r="C75" s="77" t="s">
        <v>110</v>
      </c>
      <c r="D75" s="206">
        <f>D70*введение!$C$15</f>
        <v>5250.0000000000009</v>
      </c>
      <c r="E75" s="196"/>
      <c r="F75" s="196"/>
      <c r="G75" s="196"/>
      <c r="H75" s="196"/>
      <c r="I75" s="197"/>
      <c r="J75" s="180" t="s">
        <v>113</v>
      </c>
      <c r="K75" s="181"/>
      <c r="L75" s="77" t="s">
        <v>116</v>
      </c>
      <c r="M75" s="201">
        <f>M70*введение!$C$15</f>
        <v>5250.0000000000009</v>
      </c>
      <c r="N75" s="202"/>
      <c r="O75" s="202"/>
      <c r="P75" s="203"/>
      <c r="Q75" s="71"/>
    </row>
    <row r="76" spans="1:19" ht="26.25" customHeight="1" x14ac:dyDescent="0.25">
      <c r="A76" s="180" t="s">
        <v>108</v>
      </c>
      <c r="B76" s="181"/>
      <c r="C76" s="77" t="s">
        <v>111</v>
      </c>
      <c r="D76" s="206">
        <f>D71*введение!$C$15</f>
        <v>5250.0000000000009</v>
      </c>
      <c r="E76" s="196"/>
      <c r="F76" s="196"/>
      <c r="G76" s="196"/>
      <c r="H76" s="196"/>
      <c r="I76" s="197"/>
      <c r="J76" s="180" t="s">
        <v>114</v>
      </c>
      <c r="K76" s="181"/>
      <c r="L76" s="77" t="s">
        <v>117</v>
      </c>
      <c r="M76" s="201">
        <f>M71*введение!$C$15</f>
        <v>5250.0000000000009</v>
      </c>
      <c r="N76" s="202"/>
      <c r="O76" s="202"/>
      <c r="P76" s="203"/>
      <c r="Q76" s="71"/>
    </row>
    <row r="77" spans="1:19" ht="26.25" customHeight="1" thickBot="1" x14ac:dyDescent="0.3">
      <c r="A77" s="186"/>
      <c r="B77" s="187"/>
      <c r="C77" s="278" t="s">
        <v>118</v>
      </c>
      <c r="D77" s="279"/>
      <c r="E77" s="279"/>
      <c r="F77" s="279"/>
      <c r="G77" s="279"/>
      <c r="H77" s="279"/>
      <c r="I77" s="279"/>
      <c r="J77" s="279"/>
      <c r="K77" s="280"/>
      <c r="L77" s="104" t="s">
        <v>156</v>
      </c>
      <c r="M77" s="193">
        <f>D74+D75+D76+M74+M75+M76</f>
        <v>31500.000000000004</v>
      </c>
      <c r="N77" s="194"/>
      <c r="O77" s="194"/>
      <c r="P77" s="195"/>
      <c r="Q77" s="71"/>
    </row>
    <row r="78" spans="1:19" ht="26.25" customHeight="1" x14ac:dyDescent="0.25">
      <c r="A78" s="204" t="s">
        <v>49</v>
      </c>
      <c r="B78" s="205"/>
      <c r="C78" s="177" t="s">
        <v>158</v>
      </c>
      <c r="D78" s="178"/>
      <c r="E78" s="178"/>
      <c r="F78" s="178"/>
      <c r="G78" s="178"/>
      <c r="H78" s="178"/>
      <c r="I78" s="178"/>
      <c r="J78" s="178"/>
      <c r="K78" s="178"/>
      <c r="L78" s="178"/>
      <c r="M78" s="178" t="e">
        <f>#REF!</f>
        <v>#REF!</v>
      </c>
      <c r="N78" s="178"/>
      <c r="O78" s="178"/>
      <c r="P78" s="179"/>
      <c r="Q78" s="71"/>
    </row>
    <row r="79" spans="1:19" ht="26.25" customHeight="1" x14ac:dyDescent="0.25">
      <c r="A79" s="180" t="s">
        <v>106</v>
      </c>
      <c r="B79" s="181"/>
      <c r="C79" s="77" t="s">
        <v>109</v>
      </c>
      <c r="D79" s="182">
        <f>'№ 1 доход ИП '!F14</f>
        <v>200000</v>
      </c>
      <c r="E79" s="196"/>
      <c r="F79" s="196"/>
      <c r="G79" s="196"/>
      <c r="H79" s="196"/>
      <c r="I79" s="197"/>
      <c r="J79" s="180" t="s">
        <v>112</v>
      </c>
      <c r="K79" s="181"/>
      <c r="L79" s="123" t="s">
        <v>115</v>
      </c>
      <c r="M79" s="198">
        <f>'№ 1 доход ИП '!F17</f>
        <v>200000</v>
      </c>
      <c r="N79" s="199"/>
      <c r="O79" s="199"/>
      <c r="P79" s="200"/>
      <c r="Q79" s="71"/>
    </row>
    <row r="80" spans="1:19" ht="26.25" customHeight="1" x14ac:dyDescent="0.25">
      <c r="A80" s="180" t="s">
        <v>107</v>
      </c>
      <c r="B80" s="181"/>
      <c r="C80" s="77" t="s">
        <v>110</v>
      </c>
      <c r="D80" s="182">
        <f>'№ 1 доход ИП '!F15</f>
        <v>200000</v>
      </c>
      <c r="E80" s="196"/>
      <c r="F80" s="196"/>
      <c r="G80" s="196"/>
      <c r="H80" s="196"/>
      <c r="I80" s="197"/>
      <c r="J80" s="180" t="s">
        <v>113</v>
      </c>
      <c r="K80" s="181"/>
      <c r="L80" s="123" t="s">
        <v>116</v>
      </c>
      <c r="M80" s="198">
        <f>'№ 1 доход ИП '!F18</f>
        <v>200000</v>
      </c>
      <c r="N80" s="199"/>
      <c r="O80" s="199"/>
      <c r="P80" s="200"/>
      <c r="Q80" s="71"/>
    </row>
    <row r="81" spans="1:17" ht="26.25" customHeight="1" x14ac:dyDescent="0.25">
      <c r="A81" s="180" t="s">
        <v>108</v>
      </c>
      <c r="B81" s="181"/>
      <c r="C81" s="77" t="s">
        <v>111</v>
      </c>
      <c r="D81" s="182">
        <f>'№ 1 доход ИП '!F16</f>
        <v>200000</v>
      </c>
      <c r="E81" s="196"/>
      <c r="F81" s="196"/>
      <c r="G81" s="196"/>
      <c r="H81" s="196"/>
      <c r="I81" s="197"/>
      <c r="J81" s="180" t="s">
        <v>114</v>
      </c>
      <c r="K81" s="181"/>
      <c r="L81" s="123" t="s">
        <v>117</v>
      </c>
      <c r="M81" s="198">
        <f>'№ 1 доход ИП '!F19</f>
        <v>200000</v>
      </c>
      <c r="N81" s="199"/>
      <c r="O81" s="199"/>
      <c r="P81" s="200"/>
      <c r="Q81" s="71"/>
    </row>
    <row r="82" spans="1:17" ht="26.25" customHeight="1" thickBot="1" x14ac:dyDescent="0.3">
      <c r="A82" s="180"/>
      <c r="B82" s="181"/>
      <c r="C82" s="278" t="s">
        <v>118</v>
      </c>
      <c r="D82" s="279"/>
      <c r="E82" s="279"/>
      <c r="F82" s="279"/>
      <c r="G82" s="279"/>
      <c r="H82" s="279"/>
      <c r="I82" s="279"/>
      <c r="J82" s="279"/>
      <c r="K82" s="280"/>
      <c r="L82" s="104" t="s">
        <v>156</v>
      </c>
      <c r="M82" s="193">
        <f>D79+D80+D81+M79+M80+M81</f>
        <v>1200000</v>
      </c>
      <c r="N82" s="194"/>
      <c r="O82" s="194"/>
      <c r="P82" s="195"/>
      <c r="Q82" s="71"/>
    </row>
    <row r="83" spans="1:17" ht="26.25" customHeight="1" x14ac:dyDescent="0.25">
      <c r="A83" s="204" t="s">
        <v>50</v>
      </c>
      <c r="B83" s="205"/>
      <c r="C83" s="177" t="s">
        <v>159</v>
      </c>
      <c r="D83" s="178"/>
      <c r="E83" s="178"/>
      <c r="F83" s="178"/>
      <c r="G83" s="178"/>
      <c r="H83" s="178"/>
      <c r="I83" s="178"/>
      <c r="J83" s="178"/>
      <c r="K83" s="178"/>
      <c r="L83" s="178"/>
      <c r="M83" s="178" t="e">
        <f>M78*10%</f>
        <v>#REF!</v>
      </c>
      <c r="N83" s="178"/>
      <c r="O83" s="178"/>
      <c r="P83" s="179"/>
      <c r="Q83" s="71"/>
    </row>
    <row r="84" spans="1:17" ht="26.25" customHeight="1" x14ac:dyDescent="0.25">
      <c r="A84" s="180" t="s">
        <v>106</v>
      </c>
      <c r="B84" s="181"/>
      <c r="C84" s="78" t="s">
        <v>109</v>
      </c>
      <c r="D84" s="206">
        <f>D79*10%</f>
        <v>20000</v>
      </c>
      <c r="E84" s="196"/>
      <c r="F84" s="196"/>
      <c r="G84" s="196"/>
      <c r="H84" s="196"/>
      <c r="I84" s="197"/>
      <c r="J84" s="180" t="s">
        <v>112</v>
      </c>
      <c r="K84" s="181"/>
      <c r="L84" s="78" t="s">
        <v>115</v>
      </c>
      <c r="M84" s="201">
        <f>M79*10%</f>
        <v>20000</v>
      </c>
      <c r="N84" s="202"/>
      <c r="O84" s="202"/>
      <c r="P84" s="203"/>
      <c r="Q84" s="71"/>
    </row>
    <row r="85" spans="1:17" ht="26.25" customHeight="1" x14ac:dyDescent="0.25">
      <c r="A85" s="180" t="s">
        <v>107</v>
      </c>
      <c r="B85" s="181"/>
      <c r="C85" s="78" t="s">
        <v>110</v>
      </c>
      <c r="D85" s="206">
        <f t="shared" ref="D85:D86" si="0">D80*10%</f>
        <v>20000</v>
      </c>
      <c r="E85" s="196"/>
      <c r="F85" s="196"/>
      <c r="G85" s="196"/>
      <c r="H85" s="196"/>
      <c r="I85" s="197"/>
      <c r="J85" s="180" t="s">
        <v>113</v>
      </c>
      <c r="K85" s="181"/>
      <c r="L85" s="78" t="s">
        <v>116</v>
      </c>
      <c r="M85" s="201">
        <f t="shared" ref="M85:M86" si="1">M80*10%</f>
        <v>20000</v>
      </c>
      <c r="N85" s="202"/>
      <c r="O85" s="202"/>
      <c r="P85" s="203"/>
      <c r="Q85" s="71"/>
    </row>
    <row r="86" spans="1:17" ht="26.25" customHeight="1" x14ac:dyDescent="0.25">
      <c r="A86" s="180" t="s">
        <v>108</v>
      </c>
      <c r="B86" s="181"/>
      <c r="C86" s="78" t="s">
        <v>111</v>
      </c>
      <c r="D86" s="206">
        <f t="shared" si="0"/>
        <v>20000</v>
      </c>
      <c r="E86" s="196"/>
      <c r="F86" s="196"/>
      <c r="G86" s="196"/>
      <c r="H86" s="196"/>
      <c r="I86" s="197"/>
      <c r="J86" s="180" t="s">
        <v>114</v>
      </c>
      <c r="K86" s="181"/>
      <c r="L86" s="78" t="s">
        <v>117</v>
      </c>
      <c r="M86" s="201">
        <f t="shared" si="1"/>
        <v>20000</v>
      </c>
      <c r="N86" s="202"/>
      <c r="O86" s="202"/>
      <c r="P86" s="203"/>
      <c r="Q86" s="71"/>
    </row>
    <row r="87" spans="1:17" ht="26.25" customHeight="1" thickBot="1" x14ac:dyDescent="0.3">
      <c r="A87" s="180"/>
      <c r="B87" s="181"/>
      <c r="C87" s="278" t="s">
        <v>118</v>
      </c>
      <c r="D87" s="279"/>
      <c r="E87" s="279"/>
      <c r="F87" s="279"/>
      <c r="G87" s="279"/>
      <c r="H87" s="279"/>
      <c r="I87" s="279"/>
      <c r="J87" s="279"/>
      <c r="K87" s="280"/>
      <c r="L87" s="104" t="s">
        <v>156</v>
      </c>
      <c r="M87" s="193">
        <f>D84+D85+D86+M84+M85+M86</f>
        <v>120000</v>
      </c>
      <c r="N87" s="194"/>
      <c r="O87" s="194"/>
      <c r="P87" s="195"/>
      <c r="Q87" s="71"/>
    </row>
    <row r="88" spans="1:17" ht="26.25" customHeight="1" x14ac:dyDescent="0.25">
      <c r="A88" s="204" t="s">
        <v>51</v>
      </c>
      <c r="B88" s="205"/>
      <c r="C88" s="177" t="s">
        <v>160</v>
      </c>
      <c r="D88" s="178"/>
      <c r="E88" s="178"/>
      <c r="F88" s="178"/>
      <c r="G88" s="178"/>
      <c r="H88" s="178"/>
      <c r="I88" s="178"/>
      <c r="J88" s="178"/>
      <c r="K88" s="178"/>
      <c r="L88" s="178"/>
      <c r="M88" s="178" t="e">
        <f>M83*10%</f>
        <v>#REF!</v>
      </c>
      <c r="N88" s="178"/>
      <c r="O88" s="178"/>
      <c r="P88" s="179"/>
      <c r="Q88" s="138"/>
    </row>
    <row r="89" spans="1:17" ht="26.25" customHeight="1" x14ac:dyDescent="0.25">
      <c r="A89" s="180" t="s">
        <v>106</v>
      </c>
      <c r="B89" s="181"/>
      <c r="C89" s="78" t="s">
        <v>109</v>
      </c>
      <c r="D89" s="182">
        <f>введение!C11*1.4*5%</f>
        <v>2975</v>
      </c>
      <c r="E89" s="183"/>
      <c r="F89" s="183"/>
      <c r="G89" s="183"/>
      <c r="H89" s="183"/>
      <c r="I89" s="184"/>
      <c r="J89" s="180" t="s">
        <v>112</v>
      </c>
      <c r="K89" s="181"/>
      <c r="L89" s="78" t="s">
        <v>115</v>
      </c>
      <c r="M89" s="182">
        <f>введение!C11*1.4*5%</f>
        <v>2975</v>
      </c>
      <c r="N89" s="183"/>
      <c r="O89" s="183"/>
      <c r="P89" s="183"/>
      <c r="Q89" s="71"/>
    </row>
    <row r="90" spans="1:17" ht="26.25" customHeight="1" x14ac:dyDescent="0.25">
      <c r="A90" s="180" t="s">
        <v>107</v>
      </c>
      <c r="B90" s="181"/>
      <c r="C90" s="78" t="s">
        <v>110</v>
      </c>
      <c r="D90" s="182">
        <f>введение!C11*1.4*5%</f>
        <v>2975</v>
      </c>
      <c r="E90" s="183"/>
      <c r="F90" s="183"/>
      <c r="G90" s="183"/>
      <c r="H90" s="183"/>
      <c r="I90" s="184"/>
      <c r="J90" s="180" t="s">
        <v>113</v>
      </c>
      <c r="K90" s="181"/>
      <c r="L90" s="78" t="s">
        <v>116</v>
      </c>
      <c r="M90" s="182">
        <f>введение!C11*1.4*5%</f>
        <v>2975</v>
      </c>
      <c r="N90" s="183"/>
      <c r="O90" s="183"/>
      <c r="P90" s="183"/>
      <c r="Q90" s="71"/>
    </row>
    <row r="91" spans="1:17" ht="26.25" customHeight="1" x14ac:dyDescent="0.25">
      <c r="A91" s="180" t="s">
        <v>108</v>
      </c>
      <c r="B91" s="181"/>
      <c r="C91" s="78" t="s">
        <v>111</v>
      </c>
      <c r="D91" s="182">
        <f>введение!C11*1.4*5%</f>
        <v>2975</v>
      </c>
      <c r="E91" s="183"/>
      <c r="F91" s="183"/>
      <c r="G91" s="183"/>
      <c r="H91" s="183"/>
      <c r="I91" s="184"/>
      <c r="J91" s="180" t="s">
        <v>114</v>
      </c>
      <c r="K91" s="181"/>
      <c r="L91" s="78" t="s">
        <v>117</v>
      </c>
      <c r="M91" s="182">
        <f>введение!C11*1.4*5%</f>
        <v>2975</v>
      </c>
      <c r="N91" s="183"/>
      <c r="O91" s="183"/>
      <c r="P91" s="183"/>
      <c r="Q91" s="71"/>
    </row>
    <row r="92" spans="1:17" ht="26.25" customHeight="1" thickBot="1" x14ac:dyDescent="0.3">
      <c r="A92" s="180"/>
      <c r="B92" s="181"/>
      <c r="C92" s="278" t="s">
        <v>118</v>
      </c>
      <c r="D92" s="279"/>
      <c r="E92" s="279"/>
      <c r="F92" s="279"/>
      <c r="G92" s="279"/>
      <c r="H92" s="279"/>
      <c r="I92" s="279"/>
      <c r="J92" s="279"/>
      <c r="K92" s="280"/>
      <c r="L92" s="104" t="s">
        <v>156</v>
      </c>
      <c r="M92" s="257">
        <f>D89+D90+D91+M89+M90+M91</f>
        <v>17850</v>
      </c>
      <c r="N92" s="258"/>
      <c r="O92" s="258"/>
      <c r="P92" s="259"/>
      <c r="Q92" s="71"/>
    </row>
    <row r="93" spans="1:17" ht="15" customHeight="1" x14ac:dyDescent="0.25">
      <c r="A93" s="272" t="s">
        <v>161</v>
      </c>
      <c r="B93" s="273"/>
      <c r="C93" s="273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273"/>
      <c r="O93" s="273"/>
      <c r="P93" s="274"/>
    </row>
    <row r="94" spans="1:17" ht="15.75" thickBot="1" x14ac:dyDescent="0.3">
      <c r="A94" s="275"/>
      <c r="B94" s="276"/>
      <c r="C94" s="276"/>
      <c r="D94" s="276"/>
      <c r="E94" s="276"/>
      <c r="F94" s="276"/>
      <c r="G94" s="276"/>
      <c r="H94" s="276"/>
      <c r="I94" s="276"/>
      <c r="J94" s="276"/>
      <c r="K94" s="276"/>
      <c r="L94" s="276"/>
      <c r="M94" s="276"/>
      <c r="N94" s="276"/>
      <c r="O94" s="276"/>
      <c r="P94" s="277"/>
    </row>
    <row r="95" spans="1:17" ht="26.25" customHeight="1" x14ac:dyDescent="0.25">
      <c r="A95" s="204" t="s">
        <v>52</v>
      </c>
      <c r="B95" s="205"/>
      <c r="C95" s="177" t="s">
        <v>140</v>
      </c>
      <c r="D95" s="178"/>
      <c r="E95" s="178"/>
      <c r="F95" s="178"/>
      <c r="G95" s="178"/>
      <c r="H95" s="178"/>
      <c r="I95" s="178"/>
      <c r="J95" s="178"/>
      <c r="K95" s="178"/>
      <c r="L95" s="178"/>
      <c r="M95" s="178" t="e">
        <f>#REF!</f>
        <v>#REF!</v>
      </c>
      <c r="N95" s="178"/>
      <c r="O95" s="178"/>
      <c r="P95" s="179"/>
      <c r="Q95" s="71"/>
    </row>
    <row r="96" spans="1:17" ht="26.25" customHeight="1" x14ac:dyDescent="0.25">
      <c r="A96" s="180" t="s">
        <v>106</v>
      </c>
      <c r="B96" s="181"/>
      <c r="C96" s="78" t="s">
        <v>109</v>
      </c>
      <c r="D96" s="182">
        <f>'№ 2.1 Начис. доходы работников'!J26+'№3 договора ГПХ'!N27</f>
        <v>5540</v>
      </c>
      <c r="E96" s="183"/>
      <c r="F96" s="183"/>
      <c r="G96" s="183"/>
      <c r="H96" s="183"/>
      <c r="I96" s="184"/>
      <c r="J96" s="180" t="s">
        <v>112</v>
      </c>
      <c r="K96" s="181"/>
      <c r="L96" s="78" t="s">
        <v>115</v>
      </c>
      <c r="M96" s="182">
        <f>'№ 2.4 Начис. доходы работ'!J26+'№3 договора ГПХ'!T27</f>
        <v>7420</v>
      </c>
      <c r="N96" s="183"/>
      <c r="O96" s="183"/>
      <c r="P96" s="183"/>
      <c r="Q96" s="71"/>
    </row>
    <row r="97" spans="1:17" ht="26.25" customHeight="1" x14ac:dyDescent="0.25">
      <c r="A97" s="180" t="s">
        <v>107</v>
      </c>
      <c r="B97" s="181"/>
      <c r="C97" s="78" t="s">
        <v>110</v>
      </c>
      <c r="D97" s="182">
        <f>'№ 2.2 Начис.доходы работников'!J26+'№3 договора ГПХ'!P27</f>
        <v>5540</v>
      </c>
      <c r="E97" s="183"/>
      <c r="F97" s="183"/>
      <c r="G97" s="183"/>
      <c r="H97" s="183"/>
      <c r="I97" s="184"/>
      <c r="J97" s="180" t="s">
        <v>113</v>
      </c>
      <c r="K97" s="181"/>
      <c r="L97" s="78" t="s">
        <v>116</v>
      </c>
      <c r="M97" s="182">
        <f>'№ 2.5 Начис. доходы работ. '!J26+'№3 договора ГПХ'!V27</f>
        <v>5540</v>
      </c>
      <c r="N97" s="183"/>
      <c r="O97" s="183"/>
      <c r="P97" s="183"/>
      <c r="Q97" s="71"/>
    </row>
    <row r="98" spans="1:17" ht="26.25" customHeight="1" x14ac:dyDescent="0.25">
      <c r="A98" s="180" t="s">
        <v>108</v>
      </c>
      <c r="B98" s="181"/>
      <c r="C98" s="78" t="s">
        <v>111</v>
      </c>
      <c r="D98" s="182">
        <f>'№ 2.3 Начис. доходы работ'!J26+'№3 договора ГПХ'!R27</f>
        <v>5540</v>
      </c>
      <c r="E98" s="183"/>
      <c r="F98" s="183"/>
      <c r="G98" s="183"/>
      <c r="H98" s="183"/>
      <c r="I98" s="184"/>
      <c r="J98" s="180" t="s">
        <v>114</v>
      </c>
      <c r="K98" s="181"/>
      <c r="L98" s="78" t="s">
        <v>117</v>
      </c>
      <c r="M98" s="182">
        <f>'№ 2.6 Начис. доходы работ. '!J26+'№3 договора ГПХ'!X27</f>
        <v>5540</v>
      </c>
      <c r="N98" s="183"/>
      <c r="O98" s="183"/>
      <c r="P98" s="183"/>
      <c r="Q98" s="71"/>
    </row>
    <row r="99" spans="1:17" ht="26.25" customHeight="1" thickBot="1" x14ac:dyDescent="0.3">
      <c r="A99" s="180"/>
      <c r="B99" s="181"/>
      <c r="C99" s="278" t="s">
        <v>118</v>
      </c>
      <c r="D99" s="279"/>
      <c r="E99" s="279"/>
      <c r="F99" s="279"/>
      <c r="G99" s="279"/>
      <c r="H99" s="279"/>
      <c r="I99" s="279"/>
      <c r="J99" s="279"/>
      <c r="K99" s="280"/>
      <c r="L99" s="104" t="s">
        <v>156</v>
      </c>
      <c r="M99" s="174">
        <f>D96+D97+D98+M96+M97+M98</f>
        <v>35120</v>
      </c>
      <c r="N99" s="175"/>
      <c r="O99" s="175"/>
      <c r="P99" s="176"/>
      <c r="Q99" s="71"/>
    </row>
    <row r="100" spans="1:17" ht="26.25" customHeight="1" x14ac:dyDescent="0.25">
      <c r="A100" s="204" t="s">
        <v>53</v>
      </c>
      <c r="B100" s="205"/>
      <c r="C100" s="177" t="s">
        <v>97</v>
      </c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9"/>
      <c r="Q100" s="71"/>
    </row>
    <row r="101" spans="1:17" ht="26.25" customHeight="1" x14ac:dyDescent="0.25">
      <c r="A101" s="180" t="s">
        <v>106</v>
      </c>
      <c r="B101" s="181"/>
      <c r="C101" s="78" t="s">
        <v>109</v>
      </c>
      <c r="D101" s="182">
        <f>'№ 2.1 Начис. доходы работников'!K26+'№3 договора ГПХ'!O27</f>
        <v>10870</v>
      </c>
      <c r="E101" s="183"/>
      <c r="F101" s="183"/>
      <c r="G101" s="183"/>
      <c r="H101" s="183"/>
      <c r="I101" s="184"/>
      <c r="J101" s="180" t="s">
        <v>112</v>
      </c>
      <c r="K101" s="181"/>
      <c r="L101" s="89" t="s">
        <v>115</v>
      </c>
      <c r="M101" s="182">
        <f>'№ 2.4 Начис. доходы работ'!K26+'№3 договора ГПХ'!U27</f>
        <v>10870</v>
      </c>
      <c r="N101" s="183"/>
      <c r="O101" s="183"/>
      <c r="P101" s="183"/>
      <c r="Q101" s="192"/>
    </row>
    <row r="102" spans="1:17" ht="26.25" customHeight="1" x14ac:dyDescent="0.25">
      <c r="A102" s="180" t="s">
        <v>107</v>
      </c>
      <c r="B102" s="181"/>
      <c r="C102" s="78" t="s">
        <v>110</v>
      </c>
      <c r="D102" s="182">
        <f>'№ 2.2 Начис.доходы работников'!K26+'№3 договора ГПХ'!Q27</f>
        <v>10870</v>
      </c>
      <c r="E102" s="183"/>
      <c r="F102" s="183"/>
      <c r="G102" s="183"/>
      <c r="H102" s="183"/>
      <c r="I102" s="184"/>
      <c r="J102" s="180" t="s">
        <v>113</v>
      </c>
      <c r="K102" s="181"/>
      <c r="L102" s="89" t="s">
        <v>116</v>
      </c>
      <c r="M102" s="182">
        <f>'№ 2.5 Начис. доходы работ. '!K26+'№3 договора ГПХ'!W27</f>
        <v>10870</v>
      </c>
      <c r="N102" s="183"/>
      <c r="O102" s="183"/>
      <c r="P102" s="183"/>
      <c r="Q102" s="192"/>
    </row>
    <row r="103" spans="1:17" ht="26.25" customHeight="1" x14ac:dyDescent="0.25">
      <c r="A103" s="180" t="s">
        <v>108</v>
      </c>
      <c r="B103" s="181"/>
      <c r="C103" s="78" t="s">
        <v>111</v>
      </c>
      <c r="D103" s="182">
        <f>'№ 2.3 Начис. доходы работ'!K26+'№3 договора ГПХ'!S27</f>
        <v>10870</v>
      </c>
      <c r="E103" s="183"/>
      <c r="F103" s="183"/>
      <c r="G103" s="183"/>
      <c r="H103" s="183"/>
      <c r="I103" s="184"/>
      <c r="J103" s="180" t="s">
        <v>114</v>
      </c>
      <c r="K103" s="181"/>
      <c r="L103" s="89" t="s">
        <v>117</v>
      </c>
      <c r="M103" s="182">
        <f>'№ 2.6 Начис. доходы работ. '!K26+'№3 договора ГПХ'!Y27</f>
        <v>10870</v>
      </c>
      <c r="N103" s="183"/>
      <c r="O103" s="183"/>
      <c r="P103" s="183"/>
      <c r="Q103" s="192"/>
    </row>
    <row r="104" spans="1:17" ht="26.25" customHeight="1" thickBot="1" x14ac:dyDescent="0.3">
      <c r="A104" s="180"/>
      <c r="B104" s="181"/>
      <c r="C104" s="278" t="s">
        <v>118</v>
      </c>
      <c r="D104" s="279"/>
      <c r="E104" s="279"/>
      <c r="F104" s="279"/>
      <c r="G104" s="279"/>
      <c r="H104" s="279"/>
      <c r="I104" s="279"/>
      <c r="J104" s="279"/>
      <c r="K104" s="280"/>
      <c r="L104" s="104" t="s">
        <v>156</v>
      </c>
      <c r="M104" s="174">
        <f>D101+D102+D103+M101+M102+M103</f>
        <v>65220</v>
      </c>
      <c r="N104" s="175"/>
      <c r="O104" s="175"/>
      <c r="P104" s="176"/>
      <c r="Q104" s="71"/>
    </row>
    <row r="105" spans="1:17" ht="26.25" customHeight="1" x14ac:dyDescent="0.25">
      <c r="A105" s="186" t="s">
        <v>54</v>
      </c>
      <c r="B105" s="187"/>
      <c r="C105" s="177" t="s">
        <v>119</v>
      </c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9"/>
      <c r="Q105" s="71"/>
    </row>
    <row r="106" spans="1:17" ht="26.25" customHeight="1" x14ac:dyDescent="0.25">
      <c r="A106" s="180" t="s">
        <v>106</v>
      </c>
      <c r="B106" s="181"/>
      <c r="C106" s="79" t="s">
        <v>109</v>
      </c>
      <c r="D106" s="182">
        <f>'№ 2.1 Начис. доходы работников'!R26</f>
        <v>171000</v>
      </c>
      <c r="E106" s="183"/>
      <c r="F106" s="183"/>
      <c r="G106" s="183"/>
      <c r="H106" s="183"/>
      <c r="I106" s="184"/>
      <c r="J106" s="180" t="s">
        <v>112</v>
      </c>
      <c r="K106" s="181"/>
      <c r="L106" s="79" t="s">
        <v>115</v>
      </c>
      <c r="M106" s="182">
        <f>'№ 2.4 Начис. доходы работ'!R26</f>
        <v>171000</v>
      </c>
      <c r="N106" s="183"/>
      <c r="O106" s="183"/>
      <c r="P106" s="183"/>
      <c r="Q106" s="71"/>
    </row>
    <row r="107" spans="1:17" ht="26.25" customHeight="1" x14ac:dyDescent="0.25">
      <c r="A107" s="180" t="s">
        <v>107</v>
      </c>
      <c r="B107" s="181"/>
      <c r="C107" s="79" t="s">
        <v>110</v>
      </c>
      <c r="D107" s="182">
        <f>'№ 2.2 Начис.доходы работников'!R26</f>
        <v>171000</v>
      </c>
      <c r="E107" s="183"/>
      <c r="F107" s="183"/>
      <c r="G107" s="183"/>
      <c r="H107" s="183"/>
      <c r="I107" s="184"/>
      <c r="J107" s="180" t="s">
        <v>113</v>
      </c>
      <c r="K107" s="181"/>
      <c r="L107" s="79" t="s">
        <v>116</v>
      </c>
      <c r="M107" s="182">
        <f>'№ 2.5 Начис. доходы работ. '!R26</f>
        <v>171000</v>
      </c>
      <c r="N107" s="183"/>
      <c r="O107" s="183"/>
      <c r="P107" s="183"/>
      <c r="Q107" s="71"/>
    </row>
    <row r="108" spans="1:17" ht="26.25" customHeight="1" x14ac:dyDescent="0.25">
      <c r="A108" s="180" t="s">
        <v>108</v>
      </c>
      <c r="B108" s="181"/>
      <c r="C108" s="79" t="s">
        <v>111</v>
      </c>
      <c r="D108" s="182">
        <f>'№ 2.3 Начис. доходы работ'!R26</f>
        <v>171000</v>
      </c>
      <c r="E108" s="183"/>
      <c r="F108" s="183"/>
      <c r="G108" s="183"/>
      <c r="H108" s="183"/>
      <c r="I108" s="184"/>
      <c r="J108" s="180" t="s">
        <v>114</v>
      </c>
      <c r="K108" s="181"/>
      <c r="L108" s="79" t="s">
        <v>117</v>
      </c>
      <c r="M108" s="182">
        <f>'№ 2.6 Начис. доходы работ. '!R26</f>
        <v>171000</v>
      </c>
      <c r="N108" s="183"/>
      <c r="O108" s="183"/>
      <c r="P108" s="183"/>
      <c r="Q108" s="71"/>
    </row>
    <row r="109" spans="1:17" ht="26.25" customHeight="1" thickBot="1" x14ac:dyDescent="0.3">
      <c r="A109" s="180"/>
      <c r="B109" s="181"/>
      <c r="C109" s="278" t="s">
        <v>118</v>
      </c>
      <c r="D109" s="279"/>
      <c r="E109" s="279"/>
      <c r="F109" s="279"/>
      <c r="G109" s="279"/>
      <c r="H109" s="279"/>
      <c r="I109" s="279"/>
      <c r="J109" s="279"/>
      <c r="K109" s="280"/>
      <c r="L109" s="104" t="s">
        <v>156</v>
      </c>
      <c r="M109" s="174">
        <f>D106+D107+D108+M106+M107+M108</f>
        <v>1026000</v>
      </c>
      <c r="N109" s="175"/>
      <c r="O109" s="175"/>
      <c r="P109" s="176"/>
      <c r="Q109" s="71"/>
    </row>
    <row r="110" spans="1:17" ht="26.25" customHeight="1" x14ac:dyDescent="0.25">
      <c r="A110" s="186" t="s">
        <v>55</v>
      </c>
      <c r="B110" s="187"/>
      <c r="C110" s="177" t="s">
        <v>157</v>
      </c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9"/>
      <c r="Q110" s="71"/>
    </row>
    <row r="111" spans="1:17" ht="26.25" customHeight="1" x14ac:dyDescent="0.25">
      <c r="A111" s="180" t="s">
        <v>106</v>
      </c>
      <c r="B111" s="181"/>
      <c r="C111" s="80" t="s">
        <v>109</v>
      </c>
      <c r="D111" s="182">
        <f>'№ 2.1 Начис. доходы работников'!S26</f>
        <v>5985</v>
      </c>
      <c r="E111" s="183"/>
      <c r="F111" s="183"/>
      <c r="G111" s="183"/>
      <c r="H111" s="183"/>
      <c r="I111" s="184"/>
      <c r="J111" s="180" t="s">
        <v>112</v>
      </c>
      <c r="K111" s="181"/>
      <c r="L111" s="80" t="s">
        <v>115</v>
      </c>
      <c r="M111" s="182">
        <f>'№ 2.4 Начис. доходы работ'!S26</f>
        <v>5985</v>
      </c>
      <c r="N111" s="183"/>
      <c r="O111" s="183"/>
      <c r="P111" s="183"/>
      <c r="Q111" s="71"/>
    </row>
    <row r="112" spans="1:17" ht="26.25" customHeight="1" x14ac:dyDescent="0.25">
      <c r="A112" s="180" t="s">
        <v>107</v>
      </c>
      <c r="B112" s="181"/>
      <c r="C112" s="80" t="s">
        <v>110</v>
      </c>
      <c r="D112" s="182">
        <f>'№ 2.2 Начис.доходы работников'!S26</f>
        <v>5985</v>
      </c>
      <c r="E112" s="183"/>
      <c r="F112" s="183"/>
      <c r="G112" s="183"/>
      <c r="H112" s="183"/>
      <c r="I112" s="184"/>
      <c r="J112" s="180" t="s">
        <v>113</v>
      </c>
      <c r="K112" s="181"/>
      <c r="L112" s="80" t="s">
        <v>116</v>
      </c>
      <c r="M112" s="182">
        <f>'№ 2.5 Начис. доходы работ. '!S26</f>
        <v>5985</v>
      </c>
      <c r="N112" s="183"/>
      <c r="O112" s="183"/>
      <c r="P112" s="183"/>
      <c r="Q112" s="71"/>
    </row>
    <row r="113" spans="1:17" ht="26.25" customHeight="1" x14ac:dyDescent="0.25">
      <c r="A113" s="180" t="s">
        <v>108</v>
      </c>
      <c r="B113" s="181"/>
      <c r="C113" s="80" t="s">
        <v>111</v>
      </c>
      <c r="D113" s="182">
        <f>'№ 2.3 Начис. доходы работ'!S26</f>
        <v>5985</v>
      </c>
      <c r="E113" s="183"/>
      <c r="F113" s="183"/>
      <c r="G113" s="183"/>
      <c r="H113" s="183"/>
      <c r="I113" s="184"/>
      <c r="J113" s="180" t="s">
        <v>114</v>
      </c>
      <c r="K113" s="181"/>
      <c r="L113" s="80" t="s">
        <v>117</v>
      </c>
      <c r="M113" s="182">
        <f>'№ 2.6 Начис. доходы работ. '!S26</f>
        <v>5985</v>
      </c>
      <c r="N113" s="183"/>
      <c r="O113" s="183"/>
      <c r="P113" s="183"/>
      <c r="Q113" s="71"/>
    </row>
    <row r="114" spans="1:17" ht="26.25" customHeight="1" thickBot="1" x14ac:dyDescent="0.3">
      <c r="A114" s="180"/>
      <c r="B114" s="181"/>
      <c r="C114" s="278" t="s">
        <v>118</v>
      </c>
      <c r="D114" s="279"/>
      <c r="E114" s="279"/>
      <c r="F114" s="279"/>
      <c r="G114" s="279"/>
      <c r="H114" s="279"/>
      <c r="I114" s="279"/>
      <c r="J114" s="279"/>
      <c r="K114" s="280"/>
      <c r="L114" s="104" t="s">
        <v>156</v>
      </c>
      <c r="M114" s="174">
        <f>D111+D112+D113+M111+M112+M113</f>
        <v>35910</v>
      </c>
      <c r="N114" s="175"/>
      <c r="O114" s="175"/>
      <c r="P114" s="176"/>
      <c r="Q114" s="71"/>
    </row>
    <row r="115" spans="1:17" ht="25.5" customHeight="1" x14ac:dyDescent="0.25">
      <c r="A115" s="204" t="s">
        <v>56</v>
      </c>
      <c r="B115" s="205"/>
      <c r="C115" s="177" t="s">
        <v>162</v>
      </c>
      <c r="D115" s="178"/>
      <c r="E115" s="178"/>
      <c r="F115" s="178"/>
      <c r="G115" s="178"/>
      <c r="H115" s="178"/>
      <c r="I115" s="178"/>
      <c r="J115" s="178"/>
      <c r="K115" s="178"/>
      <c r="L115" s="178"/>
      <c r="M115" s="178" t="e">
        <f>#REF!</f>
        <v>#REF!</v>
      </c>
      <c r="N115" s="178"/>
      <c r="O115" s="178"/>
      <c r="P115" s="179"/>
      <c r="Q115" s="71"/>
    </row>
    <row r="116" spans="1:17" ht="26.25" customHeight="1" x14ac:dyDescent="0.25">
      <c r="A116" s="180" t="s">
        <v>106</v>
      </c>
      <c r="B116" s="181"/>
      <c r="C116" s="79" t="s">
        <v>109</v>
      </c>
      <c r="D116" s="182">
        <f>'№ 2.1 Начис. доходы работников'!M26+'№ 4 договора ГПХ'!I15*20</f>
        <v>190000</v>
      </c>
      <c r="E116" s="183"/>
      <c r="F116" s="183"/>
      <c r="G116" s="183"/>
      <c r="H116" s="183"/>
      <c r="I116" s="184"/>
      <c r="J116" s="180" t="s">
        <v>112</v>
      </c>
      <c r="K116" s="181"/>
      <c r="L116" s="79" t="s">
        <v>115</v>
      </c>
      <c r="M116" s="182">
        <f>'№ 2.4 Начис. доходы работ'!M26+'№ 4 договора ГПХ'!O15*20</f>
        <v>210000</v>
      </c>
      <c r="N116" s="183"/>
      <c r="O116" s="183"/>
      <c r="P116" s="183"/>
      <c r="Q116" s="71"/>
    </row>
    <row r="117" spans="1:17" ht="26.25" customHeight="1" x14ac:dyDescent="0.25">
      <c r="A117" s="180" t="s">
        <v>107</v>
      </c>
      <c r="B117" s="181"/>
      <c r="C117" s="79" t="s">
        <v>110</v>
      </c>
      <c r="D117" s="182">
        <f>'№ 2.2 Начис.доходы работников'!M26+'№ 4 договора ГПХ'!K15*20</f>
        <v>190000</v>
      </c>
      <c r="E117" s="183"/>
      <c r="F117" s="183"/>
      <c r="G117" s="183"/>
      <c r="H117" s="183"/>
      <c r="I117" s="184"/>
      <c r="J117" s="180" t="s">
        <v>113</v>
      </c>
      <c r="K117" s="181"/>
      <c r="L117" s="79" t="s">
        <v>116</v>
      </c>
      <c r="M117" s="182">
        <f>'№ 2.5 Начис. доходы работ. '!M26+'№ 4 договора ГПХ'!Q15*20</f>
        <v>190000</v>
      </c>
      <c r="N117" s="183"/>
      <c r="O117" s="183"/>
      <c r="P117" s="183"/>
      <c r="Q117" s="71"/>
    </row>
    <row r="118" spans="1:17" ht="26.25" customHeight="1" x14ac:dyDescent="0.25">
      <c r="A118" s="180" t="s">
        <v>108</v>
      </c>
      <c r="B118" s="181"/>
      <c r="C118" s="79" t="s">
        <v>111</v>
      </c>
      <c r="D118" s="182">
        <f>'№ 2.3 Начис. доходы работ'!M26+'№ 4 договора ГПХ'!M15*20</f>
        <v>190000</v>
      </c>
      <c r="E118" s="183"/>
      <c r="F118" s="183"/>
      <c r="G118" s="183"/>
      <c r="H118" s="183"/>
      <c r="I118" s="184"/>
      <c r="J118" s="180" t="s">
        <v>114</v>
      </c>
      <c r="K118" s="181"/>
      <c r="L118" s="79" t="s">
        <v>117</v>
      </c>
      <c r="M118" s="182">
        <f>'№ 2.6 Начис. доходы работ. '!M26+'№ 4 договора ГПХ'!S15*20</f>
        <v>190000</v>
      </c>
      <c r="N118" s="183"/>
      <c r="O118" s="183"/>
      <c r="P118" s="183"/>
      <c r="Q118" s="71"/>
    </row>
    <row r="119" spans="1:17" ht="26.25" customHeight="1" thickBot="1" x14ac:dyDescent="0.3">
      <c r="A119" s="180"/>
      <c r="B119" s="181"/>
      <c r="C119" s="278" t="s">
        <v>118</v>
      </c>
      <c r="D119" s="279"/>
      <c r="E119" s="279"/>
      <c r="F119" s="279"/>
      <c r="G119" s="279"/>
      <c r="H119" s="279"/>
      <c r="I119" s="279"/>
      <c r="J119" s="279"/>
      <c r="K119" s="280"/>
      <c r="L119" s="104" t="s">
        <v>156</v>
      </c>
      <c r="M119" s="174">
        <f>D116+D117+D118+M116+M117+M118</f>
        <v>1160000</v>
      </c>
      <c r="N119" s="175"/>
      <c r="O119" s="175"/>
      <c r="P119" s="176"/>
      <c r="Q119" s="71"/>
    </row>
    <row r="120" spans="1:17" ht="25.5" customHeight="1" x14ac:dyDescent="0.25">
      <c r="A120" s="204" t="s">
        <v>120</v>
      </c>
      <c r="B120" s="205"/>
      <c r="C120" s="177" t="s">
        <v>159</v>
      </c>
      <c r="D120" s="178"/>
      <c r="E120" s="178"/>
      <c r="F120" s="178"/>
      <c r="G120" s="178"/>
      <c r="H120" s="178"/>
      <c r="I120" s="178"/>
      <c r="J120" s="178"/>
      <c r="K120" s="178"/>
      <c r="L120" s="178"/>
      <c r="M120" s="178" t="e">
        <f>#REF!</f>
        <v>#REF!</v>
      </c>
      <c r="N120" s="178"/>
      <c r="O120" s="178"/>
      <c r="P120" s="179"/>
      <c r="Q120" s="71"/>
    </row>
    <row r="121" spans="1:17" ht="26.25" customHeight="1" x14ac:dyDescent="0.25">
      <c r="A121" s="180" t="s">
        <v>106</v>
      </c>
      <c r="B121" s="181"/>
      <c r="C121" s="81" t="s">
        <v>109</v>
      </c>
      <c r="D121" s="182">
        <f>'№ 2.1 Начис. доходы работников'!O26+'№ 4 договора ГПХ'!I15</f>
        <v>19000</v>
      </c>
      <c r="E121" s="183"/>
      <c r="F121" s="183"/>
      <c r="G121" s="183"/>
      <c r="H121" s="183"/>
      <c r="I121" s="184"/>
      <c r="J121" s="180" t="s">
        <v>112</v>
      </c>
      <c r="K121" s="181"/>
      <c r="L121" s="81" t="s">
        <v>115</v>
      </c>
      <c r="M121" s="182">
        <f>'№ 2.4 Начис. доходы работ'!O26+'№ 4 договора ГПХ'!O15</f>
        <v>20000</v>
      </c>
      <c r="N121" s="183"/>
      <c r="O121" s="183"/>
      <c r="P121" s="183"/>
      <c r="Q121" s="71"/>
    </row>
    <row r="122" spans="1:17" ht="26.25" customHeight="1" x14ac:dyDescent="0.25">
      <c r="A122" s="180" t="s">
        <v>107</v>
      </c>
      <c r="B122" s="181"/>
      <c r="C122" s="81" t="s">
        <v>110</v>
      </c>
      <c r="D122" s="182">
        <f>'№ 2.2 Начис.доходы работников'!O26+'№ 4 договора ГПХ'!K15</f>
        <v>19000</v>
      </c>
      <c r="E122" s="183"/>
      <c r="F122" s="183"/>
      <c r="G122" s="183"/>
      <c r="H122" s="183"/>
      <c r="I122" s="184"/>
      <c r="J122" s="180" t="s">
        <v>113</v>
      </c>
      <c r="K122" s="181"/>
      <c r="L122" s="81" t="s">
        <v>116</v>
      </c>
      <c r="M122" s="182">
        <f>'№ 2.5 Начис. доходы работ. '!O26+'№ 4 договора ГПХ'!Q15</f>
        <v>19000</v>
      </c>
      <c r="N122" s="183"/>
      <c r="O122" s="183"/>
      <c r="P122" s="183"/>
      <c r="Q122" s="71"/>
    </row>
    <row r="123" spans="1:17" ht="26.25" customHeight="1" x14ac:dyDescent="0.25">
      <c r="A123" s="180" t="s">
        <v>108</v>
      </c>
      <c r="B123" s="181"/>
      <c r="C123" s="81" t="s">
        <v>111</v>
      </c>
      <c r="D123" s="182">
        <f>'№ 2.3 Начис. доходы работ'!O26+'№ 4 договора ГПХ'!M15</f>
        <v>19000</v>
      </c>
      <c r="E123" s="183"/>
      <c r="F123" s="183"/>
      <c r="G123" s="183"/>
      <c r="H123" s="183"/>
      <c r="I123" s="184"/>
      <c r="J123" s="180" t="s">
        <v>114</v>
      </c>
      <c r="K123" s="181"/>
      <c r="L123" s="81" t="s">
        <v>117</v>
      </c>
      <c r="M123" s="182">
        <f>'№ 2.6 Начис. доходы работ. '!O26+'№ 4 договора ГПХ'!S15</f>
        <v>19000</v>
      </c>
      <c r="N123" s="183"/>
      <c r="O123" s="183"/>
      <c r="P123" s="183"/>
      <c r="Q123" s="71"/>
    </row>
    <row r="124" spans="1:17" ht="26.25" customHeight="1" thickBot="1" x14ac:dyDescent="0.3">
      <c r="A124" s="172"/>
      <c r="B124" s="173"/>
      <c r="C124" s="278" t="s">
        <v>118</v>
      </c>
      <c r="D124" s="279"/>
      <c r="E124" s="279"/>
      <c r="F124" s="279"/>
      <c r="G124" s="279"/>
      <c r="H124" s="279"/>
      <c r="I124" s="279"/>
      <c r="J124" s="279"/>
      <c r="K124" s="280"/>
      <c r="L124" s="104" t="s">
        <v>156</v>
      </c>
      <c r="M124" s="174">
        <f>D121+D122+D123+M121+M122+M123</f>
        <v>115000</v>
      </c>
      <c r="N124" s="175"/>
      <c r="O124" s="175"/>
      <c r="P124" s="176"/>
      <c r="Q124" s="71"/>
    </row>
    <row r="125" spans="1:17" ht="25.5" customHeight="1" x14ac:dyDescent="0.25">
      <c r="A125" s="207" t="s">
        <v>123</v>
      </c>
      <c r="B125" s="208"/>
      <c r="C125" s="177" t="s">
        <v>141</v>
      </c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9"/>
      <c r="Q125" s="99"/>
    </row>
    <row r="126" spans="1:17" ht="26.25" customHeight="1" x14ac:dyDescent="0.25">
      <c r="A126" s="180" t="s">
        <v>106</v>
      </c>
      <c r="B126" s="181"/>
      <c r="C126" s="89" t="s">
        <v>109</v>
      </c>
      <c r="D126" s="281"/>
      <c r="E126" s="282"/>
      <c r="F126" s="282"/>
      <c r="G126" s="282"/>
      <c r="H126" s="282"/>
      <c r="I126" s="283"/>
      <c r="J126" s="180" t="s">
        <v>112</v>
      </c>
      <c r="K126" s="181"/>
      <c r="L126" s="89" t="s">
        <v>115</v>
      </c>
      <c r="M126" s="281"/>
      <c r="N126" s="282"/>
      <c r="O126" s="282"/>
      <c r="P126" s="284"/>
      <c r="Q126" s="234"/>
    </row>
    <row r="127" spans="1:17" ht="26.25" customHeight="1" x14ac:dyDescent="0.25">
      <c r="A127" s="180" t="s">
        <v>107</v>
      </c>
      <c r="B127" s="181"/>
      <c r="C127" s="89" t="s">
        <v>110</v>
      </c>
      <c r="D127" s="281"/>
      <c r="E127" s="282"/>
      <c r="F127" s="282"/>
      <c r="G127" s="282"/>
      <c r="H127" s="282"/>
      <c r="I127" s="283"/>
      <c r="J127" s="180" t="s">
        <v>113</v>
      </c>
      <c r="K127" s="181"/>
      <c r="L127" s="89" t="s">
        <v>116</v>
      </c>
      <c r="M127" s="281"/>
      <c r="N127" s="282"/>
      <c r="O127" s="282"/>
      <c r="P127" s="284"/>
      <c r="Q127" s="234"/>
    </row>
    <row r="128" spans="1:17" ht="26.25" customHeight="1" x14ac:dyDescent="0.25">
      <c r="A128" s="180" t="s">
        <v>108</v>
      </c>
      <c r="B128" s="181"/>
      <c r="C128" s="89" t="s">
        <v>111</v>
      </c>
      <c r="D128" s="281"/>
      <c r="E128" s="282"/>
      <c r="F128" s="282"/>
      <c r="G128" s="282"/>
      <c r="H128" s="282"/>
      <c r="I128" s="283"/>
      <c r="J128" s="180" t="s">
        <v>114</v>
      </c>
      <c r="K128" s="181"/>
      <c r="L128" s="89" t="s">
        <v>117</v>
      </c>
      <c r="M128" s="281"/>
      <c r="N128" s="282"/>
      <c r="O128" s="282"/>
      <c r="P128" s="284"/>
      <c r="Q128" s="234"/>
    </row>
    <row r="129" spans="1:17" ht="26.25" customHeight="1" thickBot="1" x14ac:dyDescent="0.3">
      <c r="A129" s="172"/>
      <c r="B129" s="173"/>
      <c r="C129" s="278" t="s">
        <v>118</v>
      </c>
      <c r="D129" s="279"/>
      <c r="E129" s="279"/>
      <c r="F129" s="279"/>
      <c r="G129" s="279"/>
      <c r="H129" s="279"/>
      <c r="I129" s="279"/>
      <c r="J129" s="279"/>
      <c r="K129" s="280"/>
      <c r="L129" s="104" t="s">
        <v>156</v>
      </c>
      <c r="M129" s="174">
        <f>D126+D127+D128+M126+M127+M128</f>
        <v>0</v>
      </c>
      <c r="N129" s="175"/>
      <c r="O129" s="175"/>
      <c r="P129" s="176"/>
      <c r="Q129" s="99"/>
    </row>
    <row r="130" spans="1:17" ht="25.5" customHeight="1" x14ac:dyDescent="0.25">
      <c r="A130" s="207" t="s">
        <v>143</v>
      </c>
      <c r="B130" s="208"/>
      <c r="C130" s="177" t="s">
        <v>142</v>
      </c>
      <c r="D130" s="178"/>
      <c r="E130" s="178"/>
      <c r="F130" s="178"/>
      <c r="G130" s="178"/>
      <c r="H130" s="178"/>
      <c r="I130" s="178"/>
      <c r="J130" s="178"/>
      <c r="K130" s="178"/>
      <c r="L130" s="178"/>
      <c r="M130" s="178" t="e">
        <f>#REF!</f>
        <v>#REF!</v>
      </c>
      <c r="N130" s="178"/>
      <c r="O130" s="178"/>
      <c r="P130" s="179"/>
      <c r="Q130" s="99"/>
    </row>
    <row r="131" spans="1:17" ht="26.25" customHeight="1" x14ac:dyDescent="0.25">
      <c r="A131" s="180" t="s">
        <v>106</v>
      </c>
      <c r="B131" s="181"/>
      <c r="C131" s="89" t="s">
        <v>109</v>
      </c>
      <c r="D131" s="281"/>
      <c r="E131" s="282"/>
      <c r="F131" s="282"/>
      <c r="G131" s="282"/>
      <c r="H131" s="282"/>
      <c r="I131" s="283"/>
      <c r="J131" s="180" t="s">
        <v>112</v>
      </c>
      <c r="K131" s="181"/>
      <c r="L131" s="89" t="s">
        <v>115</v>
      </c>
      <c r="M131" s="281"/>
      <c r="N131" s="282"/>
      <c r="O131" s="282"/>
      <c r="P131" s="284"/>
      <c r="Q131" s="100"/>
    </row>
    <row r="132" spans="1:17" ht="26.25" customHeight="1" x14ac:dyDescent="0.25">
      <c r="A132" s="180" t="s">
        <v>107</v>
      </c>
      <c r="B132" s="181"/>
      <c r="C132" s="89" t="s">
        <v>110</v>
      </c>
      <c r="D132" s="281"/>
      <c r="E132" s="282"/>
      <c r="F132" s="282"/>
      <c r="G132" s="282"/>
      <c r="H132" s="282"/>
      <c r="I132" s="283"/>
      <c r="J132" s="180" t="s">
        <v>113</v>
      </c>
      <c r="K132" s="181"/>
      <c r="L132" s="89" t="s">
        <v>116</v>
      </c>
      <c r="M132" s="281"/>
      <c r="N132" s="282"/>
      <c r="O132" s="282"/>
      <c r="P132" s="284"/>
      <c r="Q132" s="100"/>
    </row>
    <row r="133" spans="1:17" ht="26.25" customHeight="1" x14ac:dyDescent="0.25">
      <c r="A133" s="180" t="s">
        <v>108</v>
      </c>
      <c r="B133" s="181"/>
      <c r="C133" s="89" t="s">
        <v>111</v>
      </c>
      <c r="D133" s="281"/>
      <c r="E133" s="282"/>
      <c r="F133" s="282"/>
      <c r="G133" s="282"/>
      <c r="H133" s="282"/>
      <c r="I133" s="283"/>
      <c r="J133" s="180" t="s">
        <v>114</v>
      </c>
      <c r="K133" s="181"/>
      <c r="L133" s="89" t="s">
        <v>117</v>
      </c>
      <c r="M133" s="281"/>
      <c r="N133" s="282"/>
      <c r="O133" s="282"/>
      <c r="P133" s="284"/>
      <c r="Q133" s="100"/>
    </row>
    <row r="134" spans="1:17" ht="26.25" customHeight="1" thickBot="1" x14ac:dyDescent="0.3">
      <c r="A134" s="172"/>
      <c r="B134" s="173"/>
      <c r="C134" s="278" t="s">
        <v>118</v>
      </c>
      <c r="D134" s="279"/>
      <c r="E134" s="279"/>
      <c r="F134" s="279"/>
      <c r="G134" s="279"/>
      <c r="H134" s="279"/>
      <c r="I134" s="279"/>
      <c r="J134" s="279"/>
      <c r="K134" s="280"/>
      <c r="L134" s="104" t="s">
        <v>156</v>
      </c>
      <c r="M134" s="174">
        <f>D131+D132+D133+M131+M132+M133</f>
        <v>0</v>
      </c>
      <c r="N134" s="175"/>
      <c r="O134" s="175"/>
      <c r="P134" s="176"/>
      <c r="Q134" s="99"/>
    </row>
    <row r="135" spans="1:17" ht="25.5" customHeight="1" x14ac:dyDescent="0.25">
      <c r="A135" s="204" t="s">
        <v>163</v>
      </c>
      <c r="B135" s="205"/>
      <c r="C135" s="177" t="s">
        <v>207</v>
      </c>
      <c r="D135" s="178"/>
      <c r="E135" s="178"/>
      <c r="F135" s="178"/>
      <c r="G135" s="178"/>
      <c r="H135" s="178"/>
      <c r="I135" s="178"/>
      <c r="J135" s="178"/>
      <c r="K135" s="178"/>
      <c r="L135" s="178"/>
      <c r="M135" s="178" t="e">
        <f>#REF!</f>
        <v>#REF!</v>
      </c>
      <c r="N135" s="178"/>
      <c r="O135" s="178"/>
      <c r="P135" s="179"/>
      <c r="Q135" s="71"/>
    </row>
    <row r="136" spans="1:17" ht="26.25" customHeight="1" x14ac:dyDescent="0.25">
      <c r="A136" s="180" t="s">
        <v>106</v>
      </c>
      <c r="B136" s="181"/>
      <c r="C136" s="82" t="s">
        <v>109</v>
      </c>
      <c r="D136" s="182">
        <f>'№ 2.1 Начис. доходы работников'!Z26+'№ 4 договора ГПХ'!J15/введение!C22</f>
        <v>190000</v>
      </c>
      <c r="E136" s="183"/>
      <c r="F136" s="183"/>
      <c r="G136" s="183"/>
      <c r="H136" s="183"/>
      <c r="I136" s="184"/>
      <c r="J136" s="180" t="s">
        <v>112</v>
      </c>
      <c r="K136" s="181"/>
      <c r="L136" s="82" t="s">
        <v>115</v>
      </c>
      <c r="M136" s="182">
        <f>'№ 2.4 Начис. доходы работ'!Z26+'№ 4 договора ГПХ'!P15/введение!C22</f>
        <v>210000</v>
      </c>
      <c r="N136" s="183"/>
      <c r="O136" s="183"/>
      <c r="P136" s="183"/>
      <c r="Q136" s="71"/>
    </row>
    <row r="137" spans="1:17" ht="26.25" customHeight="1" x14ac:dyDescent="0.25">
      <c r="A137" s="180" t="s">
        <v>107</v>
      </c>
      <c r="B137" s="181"/>
      <c r="C137" s="82" t="s">
        <v>110</v>
      </c>
      <c r="D137" s="182">
        <f>'№ 2.2 Начис.доходы работников'!Z26+'№ 4 договора ГПХ'!L15/введение!C22</f>
        <v>190000</v>
      </c>
      <c r="E137" s="183"/>
      <c r="F137" s="183"/>
      <c r="G137" s="183"/>
      <c r="H137" s="183"/>
      <c r="I137" s="185"/>
      <c r="J137" s="180" t="s">
        <v>113</v>
      </c>
      <c r="K137" s="181"/>
      <c r="L137" s="82" t="s">
        <v>116</v>
      </c>
      <c r="M137" s="182">
        <f>'№ 2.5 Начис. доходы работ. '!Z26+'№ 4 договора ГПХ'!R15/введение!C22</f>
        <v>190000</v>
      </c>
      <c r="N137" s="183"/>
      <c r="O137" s="183"/>
      <c r="P137" s="183"/>
      <c r="Q137" s="71"/>
    </row>
    <row r="138" spans="1:17" ht="26.25" customHeight="1" x14ac:dyDescent="0.25">
      <c r="A138" s="180" t="s">
        <v>108</v>
      </c>
      <c r="B138" s="181"/>
      <c r="C138" s="82" t="s">
        <v>111</v>
      </c>
      <c r="D138" s="182">
        <f>'№ 2.3 Начис. доходы работ'!Z26+'№ 4 договора ГПХ'!N15/введение!C22</f>
        <v>190000</v>
      </c>
      <c r="E138" s="183"/>
      <c r="F138" s="183"/>
      <c r="G138" s="183"/>
      <c r="H138" s="183"/>
      <c r="I138" s="184"/>
      <c r="J138" s="180" t="s">
        <v>114</v>
      </c>
      <c r="K138" s="181"/>
      <c r="L138" s="82" t="s">
        <v>117</v>
      </c>
      <c r="M138" s="182">
        <f>'№ 2.6 Начис. доходы работ. '!Z26+'№ 4 договора ГПХ'!T15/введение!C22</f>
        <v>190000</v>
      </c>
      <c r="N138" s="183"/>
      <c r="O138" s="183"/>
      <c r="P138" s="183"/>
      <c r="Q138" s="71"/>
    </row>
    <row r="139" spans="1:17" ht="26.25" customHeight="1" thickBot="1" x14ac:dyDescent="0.3">
      <c r="A139" s="172"/>
      <c r="B139" s="173"/>
      <c r="C139" s="278" t="s">
        <v>118</v>
      </c>
      <c r="D139" s="279"/>
      <c r="E139" s="279"/>
      <c r="F139" s="279"/>
      <c r="G139" s="279"/>
      <c r="H139" s="279"/>
      <c r="I139" s="279"/>
      <c r="J139" s="279"/>
      <c r="K139" s="280"/>
      <c r="L139" s="104" t="s">
        <v>156</v>
      </c>
      <c r="M139" s="174">
        <f>D136+D137+D138+M136+M137+M138</f>
        <v>1160000</v>
      </c>
      <c r="N139" s="175"/>
      <c r="O139" s="175"/>
      <c r="P139" s="176"/>
      <c r="Q139" s="71"/>
    </row>
    <row r="140" spans="1:17" ht="15.75" thickBot="1" x14ac:dyDescent="0.3">
      <c r="A140" s="207" t="s">
        <v>194</v>
      </c>
      <c r="B140" s="208"/>
      <c r="C140" s="169" t="s">
        <v>208</v>
      </c>
      <c r="D140" s="170"/>
      <c r="E140" s="170"/>
      <c r="F140" s="170"/>
      <c r="G140" s="170"/>
      <c r="H140" s="170"/>
      <c r="I140" s="170"/>
      <c r="J140" s="170"/>
      <c r="K140" s="170"/>
      <c r="L140" s="170"/>
      <c r="M140" s="170"/>
      <c r="N140" s="170"/>
      <c r="O140" s="170"/>
      <c r="P140" s="171"/>
    </row>
    <row r="141" spans="1:17" ht="26.25" customHeight="1" x14ac:dyDescent="0.25">
      <c r="A141" s="180" t="s">
        <v>106</v>
      </c>
      <c r="B141" s="181"/>
      <c r="C141" s="83" t="s">
        <v>109</v>
      </c>
      <c r="D141" s="182">
        <f>'№ 2.1 Начис. доходы работников'!AA26+'№ 2.1 Начис. доходы работников'!AB26+'№ 4 договора ГПХ'!J15</f>
        <v>5700</v>
      </c>
      <c r="E141" s="183"/>
      <c r="F141" s="183"/>
      <c r="G141" s="183"/>
      <c r="H141" s="183"/>
      <c r="I141" s="184"/>
      <c r="J141" s="180" t="s">
        <v>112</v>
      </c>
      <c r="K141" s="181"/>
      <c r="L141" s="83" t="s">
        <v>115</v>
      </c>
      <c r="M141" s="182">
        <f>'№ 2.4 Начис. доходы работ'!AA26+'№ 2.4 Начис. доходы работ'!AB26+'№ 4 договора ГПХ'!P15</f>
        <v>5900</v>
      </c>
      <c r="N141" s="183"/>
      <c r="O141" s="183"/>
      <c r="P141" s="183"/>
      <c r="Q141" s="71"/>
    </row>
    <row r="142" spans="1:17" ht="26.25" customHeight="1" x14ac:dyDescent="0.25">
      <c r="A142" s="180" t="s">
        <v>107</v>
      </c>
      <c r="B142" s="181"/>
      <c r="C142" s="83" t="s">
        <v>110</v>
      </c>
      <c r="D142" s="182">
        <f>'№ 2.2 Начис.доходы работников'!AA26+'№ 2.2 Начис.доходы работников'!AB26+'№ 4 договора ГПХ'!L15</f>
        <v>5700</v>
      </c>
      <c r="E142" s="183"/>
      <c r="F142" s="183"/>
      <c r="G142" s="183"/>
      <c r="H142" s="183"/>
      <c r="I142" s="184"/>
      <c r="J142" s="180" t="s">
        <v>113</v>
      </c>
      <c r="K142" s="181"/>
      <c r="L142" s="83" t="s">
        <v>116</v>
      </c>
      <c r="M142" s="182">
        <f>'№ 2.5 Начис. доходы работ. '!AA26+'№ 2.5 Начис. доходы работ. '!AB26+'№ 4 договора ГПХ'!R15</f>
        <v>5700</v>
      </c>
      <c r="N142" s="183"/>
      <c r="O142" s="183"/>
      <c r="P142" s="183"/>
      <c r="Q142" s="71"/>
    </row>
    <row r="143" spans="1:17" ht="26.25" customHeight="1" x14ac:dyDescent="0.25">
      <c r="A143" s="180" t="s">
        <v>108</v>
      </c>
      <c r="B143" s="181"/>
      <c r="C143" s="83" t="s">
        <v>111</v>
      </c>
      <c r="D143" s="182">
        <f>'№ 2.3 Начис. доходы работ'!AA26+'№ 2.3 Начис. доходы работ'!AB26+'№ 4 договора ГПХ'!N15</f>
        <v>5700</v>
      </c>
      <c r="E143" s="183"/>
      <c r="F143" s="183"/>
      <c r="G143" s="183"/>
      <c r="H143" s="183"/>
      <c r="I143" s="184"/>
      <c r="J143" s="180" t="s">
        <v>114</v>
      </c>
      <c r="K143" s="181"/>
      <c r="L143" s="83" t="s">
        <v>117</v>
      </c>
      <c r="M143" s="182">
        <f>'№ 2.6 Начис. доходы работ. '!AA26+'№ 2.6 Начис. доходы работ. '!AB26+'№ 4 договора ГПХ'!T15</f>
        <v>5700</v>
      </c>
      <c r="N143" s="183"/>
      <c r="O143" s="183"/>
      <c r="P143" s="183"/>
      <c r="Q143" s="71"/>
    </row>
    <row r="144" spans="1:17" ht="26.25" customHeight="1" thickBot="1" x14ac:dyDescent="0.3">
      <c r="A144" s="172"/>
      <c r="B144" s="173"/>
      <c r="C144" s="278" t="s">
        <v>118</v>
      </c>
      <c r="D144" s="279"/>
      <c r="E144" s="279"/>
      <c r="F144" s="279"/>
      <c r="G144" s="279"/>
      <c r="H144" s="279"/>
      <c r="I144" s="279"/>
      <c r="J144" s="279"/>
      <c r="K144" s="280"/>
      <c r="L144" s="104" t="s">
        <v>156</v>
      </c>
      <c r="M144" s="174">
        <f>D141+D142+D143+M141+M142+M143</f>
        <v>34400</v>
      </c>
      <c r="N144" s="175"/>
      <c r="O144" s="175"/>
      <c r="P144" s="176"/>
      <c r="Q144" s="71"/>
    </row>
    <row r="145" spans="1:17" ht="15" customHeight="1" x14ac:dyDescent="0.25">
      <c r="A145" s="272" t="s">
        <v>195</v>
      </c>
      <c r="B145" s="273"/>
      <c r="C145" s="273"/>
      <c r="D145" s="273"/>
      <c r="E145" s="273"/>
      <c r="F145" s="273"/>
      <c r="G145" s="273"/>
      <c r="H145" s="273"/>
      <c r="I145" s="273"/>
      <c r="J145" s="273"/>
      <c r="K145" s="273"/>
      <c r="L145" s="273"/>
      <c r="M145" s="273"/>
      <c r="N145" s="273"/>
      <c r="O145" s="273"/>
      <c r="P145" s="274"/>
    </row>
    <row r="146" spans="1:17" ht="15.75" thickBot="1" x14ac:dyDescent="0.3">
      <c r="A146" s="275"/>
      <c r="B146" s="276"/>
      <c r="C146" s="276"/>
      <c r="D146" s="276"/>
      <c r="E146" s="276"/>
      <c r="F146" s="276"/>
      <c r="G146" s="276"/>
      <c r="H146" s="276"/>
      <c r="I146" s="276"/>
      <c r="J146" s="276"/>
      <c r="K146" s="276"/>
      <c r="L146" s="276"/>
      <c r="M146" s="276"/>
      <c r="N146" s="276"/>
      <c r="O146" s="276"/>
      <c r="P146" s="277"/>
    </row>
    <row r="147" spans="1:17" x14ac:dyDescent="0.25">
      <c r="A147" s="207" t="s">
        <v>197</v>
      </c>
      <c r="B147" s="208"/>
      <c r="C147" s="209" t="s">
        <v>204</v>
      </c>
      <c r="D147" s="210"/>
      <c r="E147" s="210"/>
      <c r="F147" s="210"/>
      <c r="G147" s="210"/>
      <c r="H147" s="210"/>
      <c r="I147" s="210"/>
      <c r="J147" s="210"/>
      <c r="K147" s="210"/>
      <c r="L147" s="210"/>
      <c r="M147" s="210"/>
      <c r="N147" s="210"/>
      <c r="O147" s="210"/>
      <c r="P147" s="308"/>
    </row>
    <row r="148" spans="1:17" ht="16.5" customHeight="1" x14ac:dyDescent="0.25">
      <c r="A148" s="140"/>
      <c r="B148" s="141"/>
      <c r="C148" s="145" t="s">
        <v>198</v>
      </c>
      <c r="D148" s="305" t="s">
        <v>203</v>
      </c>
      <c r="E148" s="306"/>
      <c r="F148" s="306"/>
      <c r="G148" s="306"/>
      <c r="H148" s="306"/>
      <c r="I148" s="306"/>
      <c r="J148" s="306"/>
      <c r="K148" s="306"/>
      <c r="L148" s="307"/>
      <c r="M148" s="309">
        <v>120000</v>
      </c>
      <c r="N148" s="310"/>
      <c r="O148" s="310"/>
      <c r="P148" s="311"/>
    </row>
    <row r="149" spans="1:17" x14ac:dyDescent="0.25">
      <c r="A149" s="142"/>
      <c r="B149" s="139"/>
      <c r="C149" s="145" t="s">
        <v>199</v>
      </c>
      <c r="D149" s="305" t="s">
        <v>202</v>
      </c>
      <c r="E149" s="306"/>
      <c r="F149" s="306"/>
      <c r="G149" s="306"/>
      <c r="H149" s="306"/>
      <c r="I149" s="306"/>
      <c r="J149" s="306"/>
      <c r="K149" s="306"/>
      <c r="L149" s="307"/>
      <c r="M149" s="302">
        <v>100000</v>
      </c>
      <c r="N149" s="303"/>
      <c r="O149" s="303"/>
      <c r="P149" s="304"/>
    </row>
    <row r="150" spans="1:17" x14ac:dyDescent="0.25">
      <c r="A150" s="143"/>
      <c r="B150" s="144"/>
      <c r="C150" s="145" t="s">
        <v>200</v>
      </c>
      <c r="D150" s="305" t="s">
        <v>201</v>
      </c>
      <c r="E150" s="306"/>
      <c r="F150" s="306"/>
      <c r="G150" s="306"/>
      <c r="H150" s="306"/>
      <c r="I150" s="306"/>
      <c r="J150" s="306"/>
      <c r="K150" s="306"/>
      <c r="L150" s="307"/>
      <c r="M150" s="302">
        <v>10520000</v>
      </c>
      <c r="N150" s="303"/>
      <c r="O150" s="303"/>
      <c r="P150" s="304"/>
    </row>
    <row r="151" spans="1:17" ht="15" customHeight="1" x14ac:dyDescent="0.25">
      <c r="A151" s="272" t="s">
        <v>164</v>
      </c>
      <c r="B151" s="273"/>
      <c r="C151" s="273"/>
      <c r="D151" s="273"/>
      <c r="E151" s="273"/>
      <c r="F151" s="273"/>
      <c r="G151" s="273"/>
      <c r="H151" s="273"/>
      <c r="I151" s="273"/>
      <c r="J151" s="273"/>
      <c r="K151" s="273"/>
      <c r="L151" s="273"/>
      <c r="M151" s="273"/>
      <c r="N151" s="273"/>
      <c r="O151" s="273"/>
      <c r="P151" s="274"/>
    </row>
    <row r="152" spans="1:17" ht="15.75" thickBot="1" x14ac:dyDescent="0.3">
      <c r="A152" s="275"/>
      <c r="B152" s="276"/>
      <c r="C152" s="276"/>
      <c r="D152" s="276"/>
      <c r="E152" s="276"/>
      <c r="F152" s="276"/>
      <c r="G152" s="276"/>
      <c r="H152" s="276"/>
      <c r="I152" s="276"/>
      <c r="J152" s="276"/>
      <c r="K152" s="276"/>
      <c r="L152" s="276"/>
      <c r="M152" s="276"/>
      <c r="N152" s="276"/>
      <c r="O152" s="276"/>
      <c r="P152" s="277"/>
    </row>
    <row r="153" spans="1:17" ht="33" customHeight="1" x14ac:dyDescent="0.25">
      <c r="A153" s="204" t="s">
        <v>196</v>
      </c>
      <c r="B153" s="205"/>
      <c r="C153" s="177" t="s">
        <v>165</v>
      </c>
      <c r="D153" s="178"/>
      <c r="E153" s="178"/>
      <c r="F153" s="178"/>
      <c r="G153" s="178"/>
      <c r="H153" s="178"/>
      <c r="I153" s="178"/>
      <c r="J153" s="178"/>
      <c r="K153" s="178"/>
      <c r="L153" s="178"/>
      <c r="M153" s="299"/>
      <c r="N153" s="300"/>
      <c r="O153" s="300"/>
      <c r="P153" s="301"/>
      <c r="Q153" s="103"/>
    </row>
    <row r="154" spans="1:17" x14ac:dyDescent="0.25">
      <c r="A154" s="222" t="s">
        <v>57</v>
      </c>
      <c r="B154" s="223"/>
      <c r="C154" s="223"/>
      <c r="D154" s="223"/>
      <c r="E154" s="223"/>
      <c r="F154" s="223"/>
      <c r="G154" s="223"/>
      <c r="H154" s="223"/>
      <c r="I154" s="223"/>
      <c r="J154" s="223"/>
      <c r="K154" s="223"/>
      <c r="L154" s="223"/>
      <c r="M154" s="223"/>
      <c r="N154" s="223"/>
      <c r="O154" s="223"/>
      <c r="P154" s="224"/>
    </row>
    <row r="155" spans="1:17" ht="15.75" thickBot="1" x14ac:dyDescent="0.3">
      <c r="A155" s="225"/>
      <c r="B155" s="226"/>
      <c r="C155" s="226"/>
      <c r="D155" s="226"/>
      <c r="E155" s="226"/>
      <c r="F155" s="226"/>
      <c r="G155" s="226"/>
      <c r="H155" s="226"/>
      <c r="I155" s="226"/>
      <c r="J155" s="226"/>
      <c r="K155" s="226"/>
      <c r="L155" s="226"/>
      <c r="M155" s="226"/>
      <c r="N155" s="226"/>
      <c r="O155" s="226"/>
      <c r="P155" s="227"/>
    </row>
  </sheetData>
  <mergeCells count="336">
    <mergeCell ref="M150:P150"/>
    <mergeCell ref="D148:L148"/>
    <mergeCell ref="D149:L149"/>
    <mergeCell ref="D150:L150"/>
    <mergeCell ref="A147:B147"/>
    <mergeCell ref="C147:P147"/>
    <mergeCell ref="M148:P148"/>
    <mergeCell ref="M149:P149"/>
    <mergeCell ref="A62:B63"/>
    <mergeCell ref="C62:L63"/>
    <mergeCell ref="M62:P63"/>
    <mergeCell ref="A64:B65"/>
    <mergeCell ref="C64:L65"/>
    <mergeCell ref="M64:P65"/>
    <mergeCell ref="A145:P146"/>
    <mergeCell ref="J143:K143"/>
    <mergeCell ref="M143:P143"/>
    <mergeCell ref="A133:B133"/>
    <mergeCell ref="D133:I133"/>
    <mergeCell ref="J133:K133"/>
    <mergeCell ref="M133:P133"/>
    <mergeCell ref="A134:B134"/>
    <mergeCell ref="M134:P134"/>
    <mergeCell ref="A135:B135"/>
    <mergeCell ref="A153:B153"/>
    <mergeCell ref="M153:P153"/>
    <mergeCell ref="C153:L153"/>
    <mergeCell ref="C109:K109"/>
    <mergeCell ref="C119:K119"/>
    <mergeCell ref="C114:K114"/>
    <mergeCell ref="C124:K124"/>
    <mergeCell ref="C129:K129"/>
    <mergeCell ref="C134:K134"/>
    <mergeCell ref="C139:K139"/>
    <mergeCell ref="C144:K144"/>
    <mergeCell ref="A151:P152"/>
    <mergeCell ref="A144:B144"/>
    <mergeCell ref="M144:P144"/>
    <mergeCell ref="A141:B141"/>
    <mergeCell ref="D141:I141"/>
    <mergeCell ref="J141:K141"/>
    <mergeCell ref="M141:P141"/>
    <mergeCell ref="A142:B142"/>
    <mergeCell ref="D142:I142"/>
    <mergeCell ref="J142:K142"/>
    <mergeCell ref="M142:P142"/>
    <mergeCell ref="A143:B143"/>
    <mergeCell ref="D143:I143"/>
    <mergeCell ref="D16:I16"/>
    <mergeCell ref="N17:O17"/>
    <mergeCell ref="D18:I18"/>
    <mergeCell ref="C72:K72"/>
    <mergeCell ref="C77:K77"/>
    <mergeCell ref="C82:K82"/>
    <mergeCell ref="C87:K87"/>
    <mergeCell ref="C92:K92"/>
    <mergeCell ref="C99:K99"/>
    <mergeCell ref="J90:K90"/>
    <mergeCell ref="M90:P90"/>
    <mergeCell ref="C36:L37"/>
    <mergeCell ref="J22:L22"/>
    <mergeCell ref="D46:L46"/>
    <mergeCell ref="D48:L48"/>
    <mergeCell ref="M46:P46"/>
    <mergeCell ref="M48:P48"/>
    <mergeCell ref="M38:P38"/>
    <mergeCell ref="M39:P39"/>
    <mergeCell ref="M40:P40"/>
    <mergeCell ref="M41:P41"/>
    <mergeCell ref="Q126:Q128"/>
    <mergeCell ref="C130:P130"/>
    <mergeCell ref="A131:B131"/>
    <mergeCell ref="D131:I131"/>
    <mergeCell ref="J131:K131"/>
    <mergeCell ref="M131:P131"/>
    <mergeCell ref="A132:B132"/>
    <mergeCell ref="D132:I132"/>
    <mergeCell ref="J132:K132"/>
    <mergeCell ref="M132:P132"/>
    <mergeCell ref="A128:B128"/>
    <mergeCell ref="D128:I128"/>
    <mergeCell ref="J128:K128"/>
    <mergeCell ref="M128:P128"/>
    <mergeCell ref="A130:B130"/>
    <mergeCell ref="C120:P120"/>
    <mergeCell ref="C125:P125"/>
    <mergeCell ref="A129:B129"/>
    <mergeCell ref="M129:P129"/>
    <mergeCell ref="A124:B124"/>
    <mergeCell ref="M124:P124"/>
    <mergeCell ref="A126:B126"/>
    <mergeCell ref="D126:I126"/>
    <mergeCell ref="J126:K126"/>
    <mergeCell ref="M126:P126"/>
    <mergeCell ref="A127:B127"/>
    <mergeCell ref="D127:I127"/>
    <mergeCell ref="J127:K127"/>
    <mergeCell ref="M127:P127"/>
    <mergeCell ref="A121:B121"/>
    <mergeCell ref="D121:I121"/>
    <mergeCell ref="J121:K121"/>
    <mergeCell ref="M121:P121"/>
    <mergeCell ref="A122:B122"/>
    <mergeCell ref="D122:I122"/>
    <mergeCell ref="J122:K122"/>
    <mergeCell ref="M122:P122"/>
    <mergeCell ref="A123:B123"/>
    <mergeCell ref="D123:I123"/>
    <mergeCell ref="J123:K123"/>
    <mergeCell ref="M123:P123"/>
    <mergeCell ref="A119:B119"/>
    <mergeCell ref="M119:P119"/>
    <mergeCell ref="C115:P115"/>
    <mergeCell ref="A105:B105"/>
    <mergeCell ref="C105:P105"/>
    <mergeCell ref="A106:B106"/>
    <mergeCell ref="D106:I106"/>
    <mergeCell ref="J106:K106"/>
    <mergeCell ref="M106:P106"/>
    <mergeCell ref="A107:B107"/>
    <mergeCell ref="D107:I107"/>
    <mergeCell ref="J107:K107"/>
    <mergeCell ref="M107:P107"/>
    <mergeCell ref="A108:B108"/>
    <mergeCell ref="D108:I108"/>
    <mergeCell ref="J108:K108"/>
    <mergeCell ref="M108:P108"/>
    <mergeCell ref="A109:B109"/>
    <mergeCell ref="M109:P109"/>
    <mergeCell ref="A116:B116"/>
    <mergeCell ref="D116:I116"/>
    <mergeCell ref="J116:K116"/>
    <mergeCell ref="A100:B100"/>
    <mergeCell ref="C104:K104"/>
    <mergeCell ref="M116:P116"/>
    <mergeCell ref="A117:B117"/>
    <mergeCell ref="D117:I117"/>
    <mergeCell ref="J117:K117"/>
    <mergeCell ref="M117:P117"/>
    <mergeCell ref="A118:B118"/>
    <mergeCell ref="D118:I118"/>
    <mergeCell ref="J118:K118"/>
    <mergeCell ref="M118:P118"/>
    <mergeCell ref="A104:B104"/>
    <mergeCell ref="M104:P104"/>
    <mergeCell ref="A101:B101"/>
    <mergeCell ref="D101:I101"/>
    <mergeCell ref="J101:K101"/>
    <mergeCell ref="M101:P101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97:B97"/>
    <mergeCell ref="D97:I97"/>
    <mergeCell ref="J97:K97"/>
    <mergeCell ref="M97:P97"/>
    <mergeCell ref="A98:B98"/>
    <mergeCell ref="D98:I98"/>
    <mergeCell ref="J98:K98"/>
    <mergeCell ref="M98:P98"/>
    <mergeCell ref="A99:B99"/>
    <mergeCell ref="M99:P99"/>
    <mergeCell ref="A79:B79"/>
    <mergeCell ref="D79:I79"/>
    <mergeCell ref="J79:K79"/>
    <mergeCell ref="M79:P79"/>
    <mergeCell ref="A96:B96"/>
    <mergeCell ref="D96:I96"/>
    <mergeCell ref="J96:K96"/>
    <mergeCell ref="M96:P96"/>
    <mergeCell ref="C95:P95"/>
    <mergeCell ref="A95:B95"/>
    <mergeCell ref="A93:P94"/>
    <mergeCell ref="Q50:Q51"/>
    <mergeCell ref="M56:P57"/>
    <mergeCell ref="A58:B59"/>
    <mergeCell ref="M58:P59"/>
    <mergeCell ref="A56:B57"/>
    <mergeCell ref="C56:L57"/>
    <mergeCell ref="M54:P55"/>
    <mergeCell ref="A54:B55"/>
    <mergeCell ref="A50:B51"/>
    <mergeCell ref="C50:L51"/>
    <mergeCell ref="M50:P51"/>
    <mergeCell ref="A52:B53"/>
    <mergeCell ref="C54:L55"/>
    <mergeCell ref="C52:L53"/>
    <mergeCell ref="A125:B125"/>
    <mergeCell ref="D86:I86"/>
    <mergeCell ref="A60:B61"/>
    <mergeCell ref="C60:L61"/>
    <mergeCell ref="M60:P61"/>
    <mergeCell ref="A73:B73"/>
    <mergeCell ref="A78:B78"/>
    <mergeCell ref="A68:B68"/>
    <mergeCell ref="C68:P68"/>
    <mergeCell ref="A69:B69"/>
    <mergeCell ref="D84:I84"/>
    <mergeCell ref="J84:K84"/>
    <mergeCell ref="M84:P84"/>
    <mergeCell ref="A88:B88"/>
    <mergeCell ref="C88:P88"/>
    <mergeCell ref="A89:B89"/>
    <mergeCell ref="D89:I89"/>
    <mergeCell ref="J89:K89"/>
    <mergeCell ref="M89:P89"/>
    <mergeCell ref="A90:B90"/>
    <mergeCell ref="A113:B113"/>
    <mergeCell ref="D90:I90"/>
    <mergeCell ref="A85:B85"/>
    <mergeCell ref="D85:I85"/>
    <mergeCell ref="A154:P155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42:P43"/>
    <mergeCell ref="A35:B35"/>
    <mergeCell ref="A44:B45"/>
    <mergeCell ref="C44:L45"/>
    <mergeCell ref="M44:P45"/>
    <mergeCell ref="M52:P53"/>
    <mergeCell ref="A140:B140"/>
    <mergeCell ref="A115:B115"/>
    <mergeCell ref="A120:B120"/>
    <mergeCell ref="C35:L35"/>
    <mergeCell ref="M35:P35"/>
    <mergeCell ref="A33:P34"/>
    <mergeCell ref="A36:B37"/>
    <mergeCell ref="A42:B43"/>
    <mergeCell ref="A72:B72"/>
    <mergeCell ref="M72:P72"/>
    <mergeCell ref="C73:P73"/>
    <mergeCell ref="A74:B74"/>
    <mergeCell ref="D74:I74"/>
    <mergeCell ref="J74:K74"/>
    <mergeCell ref="M74:P74"/>
    <mergeCell ref="A70:B70"/>
    <mergeCell ref="D70:I70"/>
    <mergeCell ref="J70:K70"/>
    <mergeCell ref="M70:P70"/>
    <mergeCell ref="A71:B71"/>
    <mergeCell ref="D71:I71"/>
    <mergeCell ref="J71:K71"/>
    <mergeCell ref="M71:P71"/>
    <mergeCell ref="C42:L43"/>
    <mergeCell ref="A66:P66"/>
    <mergeCell ref="C58:L59"/>
    <mergeCell ref="A67:P67"/>
    <mergeCell ref="D69:I69"/>
    <mergeCell ref="J69:K69"/>
    <mergeCell ref="M69:P69"/>
    <mergeCell ref="Q101:Q103"/>
    <mergeCell ref="C100:P100"/>
    <mergeCell ref="A82:B82"/>
    <mergeCell ref="M82:P82"/>
    <mergeCell ref="A80:B80"/>
    <mergeCell ref="D80:I80"/>
    <mergeCell ref="J80:K80"/>
    <mergeCell ref="M80:P80"/>
    <mergeCell ref="A81:B81"/>
    <mergeCell ref="D81:I81"/>
    <mergeCell ref="J81:K81"/>
    <mergeCell ref="M81:P81"/>
    <mergeCell ref="J85:K85"/>
    <mergeCell ref="M85:P85"/>
    <mergeCell ref="A86:B86"/>
    <mergeCell ref="J86:K86"/>
    <mergeCell ref="M86:P86"/>
    <mergeCell ref="A87:B87"/>
    <mergeCell ref="M87:P87"/>
    <mergeCell ref="C83:P83"/>
    <mergeCell ref="A83:B83"/>
    <mergeCell ref="A84:B84"/>
    <mergeCell ref="A91:B91"/>
    <mergeCell ref="D91:I91"/>
    <mergeCell ref="D111:I111"/>
    <mergeCell ref="J111:K111"/>
    <mergeCell ref="M111:P111"/>
    <mergeCell ref="A112:B112"/>
    <mergeCell ref="D112:I112"/>
    <mergeCell ref="J112:K112"/>
    <mergeCell ref="M112:P112"/>
    <mergeCell ref="D113:I113"/>
    <mergeCell ref="A46:B49"/>
    <mergeCell ref="A75:B75"/>
    <mergeCell ref="D75:I75"/>
    <mergeCell ref="J75:K75"/>
    <mergeCell ref="M75:P75"/>
    <mergeCell ref="A76:B76"/>
    <mergeCell ref="D76:I76"/>
    <mergeCell ref="J76:K76"/>
    <mergeCell ref="M76:P76"/>
    <mergeCell ref="C78:P78"/>
    <mergeCell ref="A77:B77"/>
    <mergeCell ref="M77:P77"/>
    <mergeCell ref="J91:K91"/>
    <mergeCell ref="M91:P91"/>
    <mergeCell ref="A92:B92"/>
    <mergeCell ref="M92:P92"/>
    <mergeCell ref="Q60:S68"/>
    <mergeCell ref="C140:P140"/>
    <mergeCell ref="A139:B139"/>
    <mergeCell ref="M139:P139"/>
    <mergeCell ref="C135:P135"/>
    <mergeCell ref="A136:B136"/>
    <mergeCell ref="D136:I136"/>
    <mergeCell ref="J136:K136"/>
    <mergeCell ref="M136:P136"/>
    <mergeCell ref="A137:B137"/>
    <mergeCell ref="D137:I137"/>
    <mergeCell ref="J137:K137"/>
    <mergeCell ref="M137:P137"/>
    <mergeCell ref="A138:B138"/>
    <mergeCell ref="D138:I138"/>
    <mergeCell ref="J138:K138"/>
    <mergeCell ref="M138:P138"/>
    <mergeCell ref="J113:K113"/>
    <mergeCell ref="M113:P113"/>
    <mergeCell ref="A114:B114"/>
    <mergeCell ref="M114:P114"/>
    <mergeCell ref="A110:B110"/>
    <mergeCell ref="C110:P110"/>
    <mergeCell ref="A111:B111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39"/>
  <sheetViews>
    <sheetView topLeftCell="A4" zoomScaleNormal="100" workbookViewId="0">
      <selection activeCell="G23" sqref="G23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21.7109375" style="17" customWidth="1"/>
    <col min="7" max="7" width="23.5703125" style="17" customWidth="1"/>
    <col min="8" max="10" width="8.7109375" style="17"/>
    <col min="11" max="11" width="51.140625" style="17" customWidth="1"/>
    <col min="12" max="12" width="8.7109375" style="17" customWidth="1"/>
    <col min="13" max="16384" width="8.7109375" style="17"/>
  </cols>
  <sheetData>
    <row r="2" spans="1:11" x14ac:dyDescent="0.25">
      <c r="F2" s="18" t="s">
        <v>14</v>
      </c>
    </row>
    <row r="3" spans="1:11" ht="18.75" x14ac:dyDescent="0.3">
      <c r="B3" s="320" t="s">
        <v>65</v>
      </c>
      <c r="C3" s="320"/>
      <c r="D3" s="320"/>
      <c r="E3" s="320"/>
      <c r="F3" s="320"/>
      <c r="G3" s="320"/>
      <c r="H3" s="320"/>
    </row>
    <row r="4" spans="1:11" ht="18.75" x14ac:dyDescent="0.3">
      <c r="B4" s="46"/>
      <c r="C4" s="46"/>
      <c r="D4" s="46"/>
      <c r="E4" s="46"/>
      <c r="F4" s="46"/>
      <c r="G4" s="46"/>
      <c r="H4" s="46"/>
    </row>
    <row r="5" spans="1:11" ht="18.75" x14ac:dyDescent="0.3">
      <c r="B5" s="321" t="s">
        <v>0</v>
      </c>
      <c r="C5" s="321"/>
      <c r="D5" s="321"/>
      <c r="E5" s="321"/>
      <c r="F5" s="321"/>
      <c r="G5" s="321"/>
      <c r="H5" s="46"/>
    </row>
    <row r="6" spans="1:11" x14ac:dyDescent="0.25">
      <c r="A6" s="36"/>
      <c r="B6" s="47"/>
      <c r="C6" s="47"/>
      <c r="D6" s="36"/>
      <c r="E6" s="36"/>
    </row>
    <row r="7" spans="1:11" x14ac:dyDescent="0.25">
      <c r="A7" s="36">
        <v>1</v>
      </c>
      <c r="B7" s="57" t="s">
        <v>15</v>
      </c>
      <c r="C7" s="75">
        <f>'№ 910 Декларация '!D8</f>
        <v>0</v>
      </c>
    </row>
    <row r="8" spans="1:11" ht="15.75" thickBot="1" x14ac:dyDescent="0.3">
      <c r="A8" s="36">
        <v>2</v>
      </c>
      <c r="B8" s="57" t="s">
        <v>66</v>
      </c>
      <c r="C8" s="57"/>
      <c r="D8" s="57"/>
      <c r="E8" s="47"/>
      <c r="F8" s="56">
        <f>'№ 910 Декларация '!L12</f>
        <v>2</v>
      </c>
      <c r="G8" s="17" t="s">
        <v>12</v>
      </c>
      <c r="H8" s="17">
        <f>'№ 910 Декларация '!O12</f>
        <v>2020</v>
      </c>
    </row>
    <row r="9" spans="1:11" x14ac:dyDescent="0.25">
      <c r="A9" s="36"/>
      <c r="B9" s="50"/>
      <c r="C9" s="50"/>
      <c r="D9" s="50"/>
      <c r="E9" s="50"/>
    </row>
    <row r="10" spans="1:11" ht="18.75" customHeight="1" x14ac:dyDescent="0.25"/>
    <row r="11" spans="1:11" x14ac:dyDescent="0.25">
      <c r="A11" s="37"/>
      <c r="B11"/>
      <c r="C11"/>
      <c r="D11"/>
      <c r="E11"/>
    </row>
    <row r="12" spans="1:11" ht="63.7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39" t="s">
        <v>178</v>
      </c>
      <c r="G12" s="39" t="s">
        <v>179</v>
      </c>
      <c r="K12" s="124"/>
    </row>
    <row r="13" spans="1:11" ht="15" customHeight="1" x14ac:dyDescent="0.25">
      <c r="A13" s="21"/>
      <c r="B13" s="55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</row>
    <row r="14" spans="1:11" x14ac:dyDescent="0.25">
      <c r="A14" s="21">
        <v>1</v>
      </c>
      <c r="B14" s="61" t="s">
        <v>98</v>
      </c>
      <c r="C14" s="125"/>
      <c r="D14" s="125"/>
      <c r="E14" s="125"/>
      <c r="F14" s="125">
        <v>200000</v>
      </c>
      <c r="G14" s="125">
        <v>150000</v>
      </c>
    </row>
    <row r="15" spans="1:11" x14ac:dyDescent="0.25">
      <c r="A15" s="21">
        <v>2</v>
      </c>
      <c r="B15" s="61" t="s">
        <v>99</v>
      </c>
      <c r="C15" s="125"/>
      <c r="D15" s="125"/>
      <c r="E15" s="125"/>
      <c r="F15" s="125">
        <v>200000</v>
      </c>
      <c r="G15" s="125">
        <v>150000</v>
      </c>
    </row>
    <row r="16" spans="1:11" x14ac:dyDescent="0.25">
      <c r="A16" s="21">
        <v>2</v>
      </c>
      <c r="B16" s="61" t="s">
        <v>100</v>
      </c>
      <c r="C16" s="125"/>
      <c r="D16" s="125"/>
      <c r="E16" s="125"/>
      <c r="F16" s="125">
        <v>200000</v>
      </c>
      <c r="G16" s="125">
        <v>150000</v>
      </c>
    </row>
    <row r="17" spans="1:7" x14ac:dyDescent="0.25">
      <c r="A17" s="21">
        <v>4</v>
      </c>
      <c r="B17" s="61" t="s">
        <v>101</v>
      </c>
      <c r="C17" s="125"/>
      <c r="D17" s="125"/>
      <c r="E17" s="125"/>
      <c r="F17" s="125">
        <v>200000</v>
      </c>
      <c r="G17" s="125">
        <v>150000</v>
      </c>
    </row>
    <row r="18" spans="1:7" x14ac:dyDescent="0.25">
      <c r="A18" s="21">
        <v>5</v>
      </c>
      <c r="B18" s="61" t="s">
        <v>102</v>
      </c>
      <c r="C18" s="125"/>
      <c r="D18" s="125"/>
      <c r="E18" s="125"/>
      <c r="F18" s="125">
        <v>200000</v>
      </c>
      <c r="G18" s="125">
        <v>150000</v>
      </c>
    </row>
    <row r="19" spans="1:7" x14ac:dyDescent="0.25">
      <c r="A19" s="21">
        <v>6</v>
      </c>
      <c r="B19" s="61" t="s">
        <v>103</v>
      </c>
      <c r="C19" s="125">
        <v>22800600</v>
      </c>
      <c r="D19" s="125">
        <v>2500000</v>
      </c>
      <c r="E19" s="125"/>
      <c r="F19" s="125">
        <v>200000</v>
      </c>
      <c r="G19" s="125">
        <v>150000</v>
      </c>
    </row>
    <row r="20" spans="1:7" x14ac:dyDescent="0.25">
      <c r="A20" s="21">
        <v>13</v>
      </c>
      <c r="B20" s="41" t="s">
        <v>13</v>
      </c>
      <c r="C20" s="42">
        <f>SUM(C14:C19)</f>
        <v>22800600</v>
      </c>
      <c r="D20" s="42">
        <f>SUM(D14:D19)</f>
        <v>2500000</v>
      </c>
      <c r="E20" s="42">
        <f>SUM(E14:E19)</f>
        <v>0</v>
      </c>
      <c r="F20" s="42">
        <f t="shared" ref="F20:G20" si="0">SUM(F14:F19)</f>
        <v>1200000</v>
      </c>
      <c r="G20" s="42">
        <f t="shared" si="0"/>
        <v>900000</v>
      </c>
    </row>
    <row r="21" spans="1:7" x14ac:dyDescent="0.25">
      <c r="A21" s="21">
        <v>14</v>
      </c>
      <c r="B21" s="41" t="s">
        <v>13</v>
      </c>
      <c r="C21" s="54">
        <f>C20+D20+E20</f>
        <v>25300600</v>
      </c>
      <c r="D21" s="54"/>
      <c r="E21" s="54"/>
      <c r="F21" s="22"/>
      <c r="G21" s="21"/>
    </row>
    <row r="22" spans="1:7" x14ac:dyDescent="0.25">
      <c r="A22" s="86"/>
      <c r="B22" s="48"/>
      <c r="C22" s="87"/>
      <c r="D22" s="87"/>
      <c r="E22" s="87"/>
      <c r="F22"/>
    </row>
    <row r="23" spans="1:7" x14ac:dyDescent="0.25">
      <c r="A23" s="86"/>
      <c r="B23" s="48"/>
      <c r="C23" s="87"/>
      <c r="D23" s="87"/>
      <c r="E23" s="87"/>
      <c r="F23"/>
    </row>
    <row r="24" spans="1:7" ht="24" customHeight="1" x14ac:dyDescent="0.25">
      <c r="A24" s="86"/>
      <c r="B24" s="88" t="s">
        <v>262</v>
      </c>
      <c r="C24" s="87"/>
      <c r="D24" s="87"/>
      <c r="E24" s="87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7" x14ac:dyDescent="0.25">
      <c r="A25" s="86"/>
      <c r="B25" s="48"/>
      <c r="C25" s="87"/>
      <c r="D25" s="87"/>
      <c r="E25" s="87"/>
      <c r="F25"/>
    </row>
    <row r="26" spans="1:7" x14ac:dyDescent="0.25">
      <c r="A26" s="86"/>
      <c r="B26" s="48"/>
      <c r="C26" s="87"/>
      <c r="D26" s="87"/>
      <c r="E26" s="87"/>
      <c r="F26"/>
    </row>
    <row r="27" spans="1:7" x14ac:dyDescent="0.25">
      <c r="A27" s="86"/>
      <c r="B27" s="48"/>
      <c r="C27" s="87"/>
      <c r="D27" s="87"/>
      <c r="E27" s="87"/>
      <c r="F27"/>
    </row>
    <row r="28" spans="1:7" x14ac:dyDescent="0.25">
      <c r="B28" s="48"/>
      <c r="C28" s="49"/>
      <c r="D28" s="50"/>
      <c r="E28" s="50"/>
      <c r="F28"/>
    </row>
    <row r="29" spans="1:7" x14ac:dyDescent="0.25">
      <c r="A29" s="48"/>
      <c r="B29" s="49"/>
      <c r="C29" s="50"/>
      <c r="D29" s="50"/>
      <c r="F29"/>
    </row>
    <row r="30" spans="1:7" x14ac:dyDescent="0.25">
      <c r="A30" s="51" t="s">
        <v>62</v>
      </c>
      <c r="B30" s="52"/>
      <c r="C30" s="53"/>
      <c r="D30" s="53"/>
      <c r="F30"/>
    </row>
    <row r="31" spans="1:7" x14ac:dyDescent="0.25">
      <c r="B31" s="37"/>
      <c r="C31" s="37"/>
      <c r="D31"/>
      <c r="E31"/>
      <c r="F31"/>
    </row>
    <row r="32" spans="1:7" x14ac:dyDescent="0.25">
      <c r="A32" s="43"/>
      <c r="B32" s="43"/>
      <c r="C32" s="44"/>
      <c r="D32" s="44"/>
      <c r="E32"/>
    </row>
    <row r="33" spans="1:6" x14ac:dyDescent="0.25">
      <c r="A33" s="45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318"/>
      <c r="B35" s="319"/>
      <c r="C35" s="319"/>
      <c r="D35"/>
      <c r="E35"/>
    </row>
    <row r="36" spans="1:6" x14ac:dyDescent="0.25">
      <c r="A36" s="45" t="s">
        <v>64</v>
      </c>
      <c r="B36" s="37"/>
      <c r="C36"/>
      <c r="D36"/>
      <c r="E36"/>
    </row>
    <row r="39" spans="1:6" x14ac:dyDescent="0.25">
      <c r="A39" s="322" t="s">
        <v>10</v>
      </c>
      <c r="B39" s="322"/>
      <c r="C39" s="323" t="s">
        <v>75</v>
      </c>
      <c r="D39" s="323"/>
      <c r="E39" s="323"/>
      <c r="F39" s="323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C39"/>
  <sheetViews>
    <sheetView topLeftCell="E10" workbookViewId="0">
      <selection activeCell="F14" sqref="F14:F25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20" style="17" customWidth="1"/>
    <col min="4" max="4" width="14.5703125" style="17" customWidth="1"/>
    <col min="5" max="5" width="15.5703125" style="17" customWidth="1"/>
    <col min="6" max="6" width="11.140625" style="17" customWidth="1"/>
    <col min="7" max="7" width="10.28515625" style="17" customWidth="1"/>
    <col min="8" max="8" width="8.7109375" style="17"/>
    <col min="9" max="9" width="10.5703125" style="17" bestFit="1" customWidth="1"/>
    <col min="10" max="11" width="11" style="17" customWidth="1"/>
    <col min="12" max="12" width="12.85546875" style="17" customWidth="1"/>
    <col min="13" max="13" width="13.140625" style="17" customWidth="1"/>
    <col min="14" max="14" width="11.5703125" style="17" customWidth="1"/>
    <col min="15" max="16" width="12.5703125" style="17" customWidth="1"/>
    <col min="17" max="17" width="10.42578125" style="17" customWidth="1"/>
    <col min="18" max="18" width="13.7109375" style="17" customWidth="1"/>
    <col min="19" max="19" width="15.42578125" style="17" customWidth="1"/>
    <col min="20" max="20" width="16" style="17" customWidth="1"/>
    <col min="21" max="21" width="19.7109375" style="17" customWidth="1"/>
    <col min="22" max="22" width="13" style="17" customWidth="1"/>
    <col min="23" max="25" width="13.28515625" style="17" customWidth="1"/>
    <col min="26" max="29" width="12" style="17" customWidth="1"/>
    <col min="30" max="16384" width="8.7109375" style="17"/>
  </cols>
  <sheetData>
    <row r="1" spans="1:29" x14ac:dyDescent="0.25">
      <c r="M1" s="19"/>
      <c r="N1" s="19"/>
      <c r="V1" s="18" t="s">
        <v>14</v>
      </c>
    </row>
    <row r="2" spans="1:29" x14ac:dyDescent="0.25">
      <c r="A2" s="20"/>
      <c r="B2" s="20"/>
      <c r="C2" s="20"/>
      <c r="D2" s="20"/>
      <c r="E2" s="20"/>
      <c r="F2" s="20"/>
      <c r="G2" s="20"/>
    </row>
    <row r="3" spans="1:29" x14ac:dyDescent="0.25">
      <c r="A3" s="20"/>
      <c r="B3" s="20"/>
      <c r="C3" s="20"/>
      <c r="D3" s="20"/>
      <c r="E3" s="20"/>
      <c r="F3" s="20"/>
      <c r="G3" s="20"/>
    </row>
    <row r="4" spans="1:29" x14ac:dyDescent="0.25">
      <c r="A4" s="58" t="s">
        <v>67</v>
      </c>
      <c r="B4" s="44"/>
      <c r="C4" s="44"/>
      <c r="D4" s="58"/>
      <c r="E4" s="58"/>
      <c r="F4" s="57"/>
      <c r="G4" s="57"/>
    </row>
    <row r="5" spans="1:29" x14ac:dyDescent="0.25">
      <c r="A5" s="36"/>
      <c r="B5" s="36"/>
      <c r="C5" s="36"/>
      <c r="D5" s="36"/>
      <c r="E5" s="36"/>
      <c r="F5" s="36"/>
      <c r="G5" s="36"/>
    </row>
    <row r="6" spans="1:29" x14ac:dyDescent="0.25">
      <c r="A6" s="36">
        <v>1</v>
      </c>
      <c r="B6" s="58" t="s">
        <v>68</v>
      </c>
      <c r="C6" s="58"/>
      <c r="D6" s="58"/>
      <c r="E6" s="58"/>
      <c r="F6" s="57"/>
      <c r="G6" s="57"/>
    </row>
    <row r="7" spans="1:29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  <c r="F7" s="146"/>
      <c r="G7" s="146"/>
    </row>
    <row r="8" spans="1:29" x14ac:dyDescent="0.25">
      <c r="A8" s="36">
        <v>3</v>
      </c>
      <c r="B8" s="58" t="s">
        <v>93</v>
      </c>
      <c r="C8" s="58"/>
      <c r="D8" s="58"/>
      <c r="E8" s="58" t="str">
        <f>IF('№ 910 Декларация '!L12=1,"январь","июль")</f>
        <v>июль</v>
      </c>
      <c r="F8" s="57"/>
      <c r="G8" s="57"/>
      <c r="H8" s="17">
        <f>'№ 910 Декларация '!O12</f>
        <v>2020</v>
      </c>
    </row>
    <row r="9" spans="1:29" x14ac:dyDescent="0.25">
      <c r="A9" s="50"/>
      <c r="B9" s="50"/>
      <c r="C9" s="50"/>
      <c r="D9" s="50"/>
      <c r="E9" s="50"/>
      <c r="F9" s="50"/>
      <c r="G9" s="50"/>
    </row>
    <row r="10" spans="1:29" ht="43.5" customHeight="1" x14ac:dyDescent="0.25">
      <c r="A10" s="324" t="s">
        <v>171</v>
      </c>
      <c r="B10" s="324"/>
      <c r="C10" s="324"/>
      <c r="D10" s="324"/>
      <c r="E10" s="324"/>
      <c r="F10" s="324"/>
      <c r="G10" s="324"/>
      <c r="H10" s="324"/>
    </row>
    <row r="11" spans="1:29" x14ac:dyDescent="0.25">
      <c r="A11" s="50"/>
      <c r="B11" s="50"/>
      <c r="C11" s="50"/>
      <c r="D11" s="50"/>
      <c r="E11" s="50"/>
      <c r="F11" s="50"/>
      <c r="G11" s="50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40.25" x14ac:dyDescent="0.25">
      <c r="A13" s="60" t="s">
        <v>69</v>
      </c>
      <c r="B13" s="60" t="s">
        <v>70</v>
      </c>
      <c r="C13" s="39" t="s">
        <v>132</v>
      </c>
      <c r="D13" s="60" t="s">
        <v>71</v>
      </c>
      <c r="E13" s="39" t="s">
        <v>211</v>
      </c>
      <c r="F13" s="39" t="s">
        <v>210</v>
      </c>
      <c r="G13" s="39" t="s">
        <v>209</v>
      </c>
      <c r="H13" s="60" t="s">
        <v>76</v>
      </c>
      <c r="I13" s="60" t="s">
        <v>77</v>
      </c>
      <c r="J13" s="39" t="s">
        <v>133</v>
      </c>
      <c r="K13" s="39" t="s">
        <v>134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39" t="s">
        <v>205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188</v>
      </c>
      <c r="Y13" s="39" t="s">
        <v>187</v>
      </c>
      <c r="Z13" s="39" t="s">
        <v>122</v>
      </c>
      <c r="AA13" s="39" t="s">
        <v>124</v>
      </c>
      <c r="AB13" s="39" t="s">
        <v>206</v>
      </c>
      <c r="AC13" s="39" t="s">
        <v>129</v>
      </c>
    </row>
    <row r="14" spans="1:29" x14ac:dyDescent="0.25">
      <c r="A14" s="94">
        <v>1</v>
      </c>
      <c r="B14" s="94" t="s">
        <v>263</v>
      </c>
      <c r="C14" s="94">
        <v>1</v>
      </c>
      <c r="D14" s="147">
        <v>110000</v>
      </c>
      <c r="E14" s="148">
        <f>IF(C14=3,0,IF((D14-O14)&gt;введение!C$11,введение!C$11,IF((D14-O14)&lt;=введение!C$11,D14-O14,0)))</f>
        <v>42500</v>
      </c>
      <c r="F14" s="147">
        <f>IF(AB14&gt;0,AB14,0)</f>
        <v>1100</v>
      </c>
      <c r="G14" s="125"/>
      <c r="H14" s="95"/>
      <c r="I14" s="132">
        <f>IF(C14=3,D14-H14,D14-H14-E14-O14-F14-G14)</f>
        <v>55400</v>
      </c>
      <c r="J14" s="133">
        <f>IF(C14=0,0,IF(C14&gt;1,0,IF(D14&lt;=введение!C$20*25,I14/100,I14/10)))</f>
        <v>5540</v>
      </c>
      <c r="K14" s="133">
        <f>IF(C14=0,0,IF(C14=1,0,IF(C14=3,I14/10,IF(C14=2,IF(D14&lt;=введение!C$20*25,I14/100,I14/10)))))</f>
        <v>0</v>
      </c>
      <c r="L14" s="95"/>
      <c r="M14" s="21">
        <f>IF(C14=3,0,IF(N14=1,0,D14-L14))</f>
        <v>110000</v>
      </c>
      <c r="N14" s="95"/>
      <c r="O14" s="21">
        <f>M14*10%</f>
        <v>11000</v>
      </c>
      <c r="P14" s="95"/>
      <c r="Q14" s="21">
        <f>IF(C14=3,0,IF(N14=1,0,D14-O14-P14))</f>
        <v>99000</v>
      </c>
      <c r="R14" s="21">
        <f>IF(OR(Q14&lt;=0,),0,MIN(MAX(введение!$C$11,Q14),введение!$C$14))</f>
        <v>99000</v>
      </c>
      <c r="S14" s="21">
        <f>ROUND(R14*введение!C$15,0)</f>
        <v>3465</v>
      </c>
      <c r="T14" s="95"/>
      <c r="U14" s="21">
        <f>ROUND(T14*0.05,0)</f>
        <v>0</v>
      </c>
      <c r="V14" s="21">
        <f>IF(D14=0,0,1)</f>
        <v>1</v>
      </c>
      <c r="W14" s="95"/>
      <c r="X14" s="131">
        <f>IF(C14=3,0,IF(D14&lt;=введение!C$20*25,0,0))</f>
        <v>0</v>
      </c>
      <c r="Y14" s="135">
        <f>IF(C14=3,0,IF(N14=1,0,D14-W14-X14))</f>
        <v>110000</v>
      </c>
      <c r="Z14" s="135">
        <f>IF(OR(Y14&lt;=0,),0,MIN(MIN(введение!$C$17,Y14),введение!$C$17))</f>
        <v>110000</v>
      </c>
      <c r="AA14" s="135">
        <f>Z14*введение!C$18</f>
        <v>2200</v>
      </c>
      <c r="AB14" s="135">
        <f>Z14*введение!C$22</f>
        <v>1100</v>
      </c>
      <c r="AC14" s="21"/>
    </row>
    <row r="15" spans="1:29" x14ac:dyDescent="0.25">
      <c r="A15" s="94">
        <v>2</v>
      </c>
      <c r="B15" s="94" t="s">
        <v>264</v>
      </c>
      <c r="C15" s="94">
        <v>2</v>
      </c>
      <c r="D15" s="147">
        <v>80000</v>
      </c>
      <c r="E15" s="148">
        <f>IF(C15=3,0,IF((D15-O15)&gt;введение!C$11,введение!C$11,IF((D15-O15)&lt;=введение!C$11,D15-O15,0)))</f>
        <v>42500</v>
      </c>
      <c r="F15" s="147">
        <f t="shared" ref="F15:F25" si="0">IF(AB15&gt;0,AB15,0)</f>
        <v>800</v>
      </c>
      <c r="G15" s="125"/>
      <c r="H15" s="95"/>
      <c r="I15" s="132">
        <f t="shared" ref="I15:I25" si="1">IF(C15=3,D15-H15,D15-H15-E15-O15-F15-G15)</f>
        <v>28700</v>
      </c>
      <c r="J15" s="133">
        <f>IF(C15=0,0,IF(C15&gt;1,0,IF(D15&lt;=введение!C$20*25,I15/100,I15/10)))</f>
        <v>0</v>
      </c>
      <c r="K15" s="133">
        <f>IF(C15=0,0,IF(C15=1,0,IF(C15=3,I15/10,IF(C15=2,IF(D15&lt;=введение!C$20*25,I15/100,I15/10)))))</f>
        <v>2870</v>
      </c>
      <c r="L15" s="95"/>
      <c r="M15" s="21">
        <f t="shared" ref="M15:M25" si="2">IF(C15=3,0,IF(N15=1,0,D15-L15))</f>
        <v>80000</v>
      </c>
      <c r="N15" s="95"/>
      <c r="O15" s="21">
        <f t="shared" ref="O15:O25" si="3">M15*10%</f>
        <v>8000</v>
      </c>
      <c r="P15" s="95"/>
      <c r="Q15" s="21">
        <f t="shared" ref="Q15:Q25" si="4">IF(C15=3,0,IF(N15=1,0,D15-O15-P15))</f>
        <v>72000</v>
      </c>
      <c r="R15" s="21">
        <f>IF(OR(Q15&lt;=0,),0,MIN(MAX(введение!$C$11,Q15),введение!$C$14))</f>
        <v>72000</v>
      </c>
      <c r="S15" s="21">
        <f>ROUND(R15*введение!C$15,0)</f>
        <v>2520</v>
      </c>
      <c r="T15" s="95"/>
      <c r="U15" s="21">
        <f t="shared" ref="U15:U25" si="5">ROUND(T15*0.05,0)</f>
        <v>0</v>
      </c>
      <c r="V15" s="21">
        <f t="shared" ref="V15:V25" si="6">IF(D15=0,0,1)</f>
        <v>1</v>
      </c>
      <c r="W15" s="95"/>
      <c r="X15" s="131">
        <f>IF(C15=3,0,IF(D15&lt;=введение!C$20*25,0,0))</f>
        <v>0</v>
      </c>
      <c r="Y15" s="135">
        <f t="shared" ref="Y15:Y25" si="7">IF(C15=3,0,IF(N15=1,0,D15-W15-X15))</f>
        <v>80000</v>
      </c>
      <c r="Z15" s="135">
        <f>IF(OR(Y15&lt;=0,),0,MIN(MIN(введение!$C$17,Y15),введение!$C$17))</f>
        <v>80000</v>
      </c>
      <c r="AA15" s="135">
        <f>Z15*введение!C$18</f>
        <v>1600</v>
      </c>
      <c r="AB15" s="135">
        <f>Z15*введение!C$22</f>
        <v>800</v>
      </c>
      <c r="AC15" s="21"/>
    </row>
    <row r="16" spans="1:29" x14ac:dyDescent="0.25">
      <c r="A16" s="94">
        <v>3</v>
      </c>
      <c r="B16" s="94" t="s">
        <v>265</v>
      </c>
      <c r="C16" s="94">
        <v>3</v>
      </c>
      <c r="D16" s="147">
        <v>80000</v>
      </c>
      <c r="E16" s="148">
        <f>IF(C16=3,0,IF((D16-O16)&gt;введение!C$11,введение!C$11,IF((D16-O16)&lt;=введение!C$11,D16-O16,0)))</f>
        <v>0</v>
      </c>
      <c r="F16" s="147">
        <f t="shared" si="0"/>
        <v>0</v>
      </c>
      <c r="G16" s="125"/>
      <c r="H16" s="95"/>
      <c r="I16" s="132">
        <f t="shared" si="1"/>
        <v>80000</v>
      </c>
      <c r="J16" s="133">
        <f>IF(C16=0,0,IF(C16&gt;1,0,IF(D16&lt;=введение!C$20*25,I16/100,I16/10)))</f>
        <v>0</v>
      </c>
      <c r="K16" s="133">
        <f>IF(C16=0,0,IF(C16=1,0,IF(C16=3,I16/10,IF(C16=2,IF(D16&lt;=введение!C$20*25,I16/100,I16/10)))))</f>
        <v>8000</v>
      </c>
      <c r="L16" s="95"/>
      <c r="M16" s="21">
        <f t="shared" si="2"/>
        <v>0</v>
      </c>
      <c r="N16" s="95"/>
      <c r="O16" s="21">
        <f t="shared" si="3"/>
        <v>0</v>
      </c>
      <c r="P16" s="95"/>
      <c r="Q16" s="21">
        <f t="shared" si="4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5"/>
        <v>0</v>
      </c>
      <c r="V16" s="21">
        <f t="shared" si="6"/>
        <v>1</v>
      </c>
      <c r="W16" s="95"/>
      <c r="X16" s="131">
        <f>IF(C16=3,0,IF(D16&lt;=введение!C$20*25,0,0))</f>
        <v>0</v>
      </c>
      <c r="Y16" s="135">
        <f t="shared" si="7"/>
        <v>0</v>
      </c>
      <c r="Z16" s="135">
        <f>IF(OR(Y16&lt;=0,),0,MIN(MIN(введение!$C$17,Y16),введение!$C$17))</f>
        <v>0</v>
      </c>
      <c r="AA16" s="135">
        <f>Z16*введение!C$18</f>
        <v>0</v>
      </c>
      <c r="AB16" s="135">
        <f>Z16*введение!C$22</f>
        <v>0</v>
      </c>
      <c r="AC16" s="21"/>
    </row>
    <row r="17" spans="1:29" x14ac:dyDescent="0.25">
      <c r="A17" s="94">
        <v>4</v>
      </c>
      <c r="B17" s="94"/>
      <c r="C17" s="94"/>
      <c r="D17" s="147"/>
      <c r="E17" s="148">
        <f>IF(C17=3,0,IF((D17-O17)&gt;введение!C$11,введение!C$11,IF((D17-O17)&lt;=введение!C$11,D17-O17,0)))</f>
        <v>0</v>
      </c>
      <c r="F17" s="147">
        <f t="shared" si="0"/>
        <v>0</v>
      </c>
      <c r="G17" s="125"/>
      <c r="H17" s="95"/>
      <c r="I17" s="132">
        <f t="shared" si="1"/>
        <v>0</v>
      </c>
      <c r="J17" s="133">
        <f>IF(C17=0,0,IF(C17&gt;1,0,IF(D17&lt;=введение!C$20*25,I17/100,I17/10)))</f>
        <v>0</v>
      </c>
      <c r="K17" s="133">
        <f>IF(C17=0,0,IF(C17=1,0,IF(C17=3,I17/10,IF(C17=2,IF(D17&lt;=введение!C$20*25,I17/100,I17/10)))))</f>
        <v>0</v>
      </c>
      <c r="L17" s="95"/>
      <c r="M17" s="21">
        <f t="shared" si="2"/>
        <v>0</v>
      </c>
      <c r="N17" s="95"/>
      <c r="O17" s="21">
        <f t="shared" si="3"/>
        <v>0</v>
      </c>
      <c r="P17" s="95"/>
      <c r="Q17" s="21">
        <f t="shared" si="4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5"/>
        <v>0</v>
      </c>
      <c r="V17" s="21">
        <f t="shared" si="6"/>
        <v>0</v>
      </c>
      <c r="W17" s="95"/>
      <c r="X17" s="131">
        <f>IF(C17=3,0,IF(D17&lt;=введение!C$20*25,0,0))</f>
        <v>0</v>
      </c>
      <c r="Y17" s="135">
        <f t="shared" si="7"/>
        <v>0</v>
      </c>
      <c r="Z17" s="135">
        <f>IF(OR(Y17&lt;=0,),0,MIN(MIN(введение!$C$17,Y17),введение!$C$17))</f>
        <v>0</v>
      </c>
      <c r="AA17" s="135">
        <f>Z17*введение!C$18</f>
        <v>0</v>
      </c>
      <c r="AB17" s="135">
        <f>Z17*введение!C$22</f>
        <v>0</v>
      </c>
      <c r="AC17" s="21"/>
    </row>
    <row r="18" spans="1:29" x14ac:dyDescent="0.25">
      <c r="A18" s="94">
        <v>5</v>
      </c>
      <c r="B18" s="94"/>
      <c r="C18" s="94"/>
      <c r="D18" s="147"/>
      <c r="E18" s="148">
        <f>IF(C18=3,0,IF((D18-O18)&gt;введение!C$11,введение!C$11,IF((D18-O18)&lt;=введение!C$11,D18-O18,0)))</f>
        <v>0</v>
      </c>
      <c r="F18" s="147">
        <f t="shared" si="0"/>
        <v>0</v>
      </c>
      <c r="G18" s="125"/>
      <c r="H18" s="95"/>
      <c r="I18" s="132">
        <f t="shared" si="1"/>
        <v>0</v>
      </c>
      <c r="J18" s="133">
        <f>IF(C18=0,0,IF(C18&gt;1,0,IF(D18&lt;=введение!C$20*25,I18/100,I18/10)))</f>
        <v>0</v>
      </c>
      <c r="K18" s="133">
        <f>IF(C18=0,0,IF(C18=1,0,IF(C18=3,I18/10,IF(C18=2,IF(D18&lt;=введение!C$20*25,I18/100,I18/10)))))</f>
        <v>0</v>
      </c>
      <c r="L18" s="95"/>
      <c r="M18" s="21">
        <f t="shared" si="2"/>
        <v>0</v>
      </c>
      <c r="N18" s="95"/>
      <c r="O18" s="21">
        <f t="shared" si="3"/>
        <v>0</v>
      </c>
      <c r="P18" s="95"/>
      <c r="Q18" s="21">
        <f t="shared" si="4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5"/>
        <v>0</v>
      </c>
      <c r="V18" s="21">
        <f t="shared" si="6"/>
        <v>0</v>
      </c>
      <c r="W18" s="95"/>
      <c r="X18" s="131">
        <f>IF(C18=3,0,IF(D18&lt;=введение!C$20*25,0,0))</f>
        <v>0</v>
      </c>
      <c r="Y18" s="135">
        <f t="shared" si="7"/>
        <v>0</v>
      </c>
      <c r="Z18" s="135">
        <f>IF(OR(Y18&lt;=0,),0,MIN(MIN(введение!$C$17,Y18),введение!$C$17))</f>
        <v>0</v>
      </c>
      <c r="AA18" s="135">
        <f>Z18*введение!C$18</f>
        <v>0</v>
      </c>
      <c r="AB18" s="135">
        <f>Z18*введение!C$22</f>
        <v>0</v>
      </c>
      <c r="AC18" s="21"/>
    </row>
    <row r="19" spans="1:29" x14ac:dyDescent="0.25">
      <c r="A19" s="94">
        <v>6</v>
      </c>
      <c r="B19" s="94"/>
      <c r="C19" s="94"/>
      <c r="D19" s="147"/>
      <c r="E19" s="148">
        <f>IF(C19=3,0,IF((D19-O19)&gt;введение!C$11,введение!C$11,IF((D19-O19)&lt;=введение!C$11,D19-O19,0)))</f>
        <v>0</v>
      </c>
      <c r="F19" s="147">
        <f t="shared" si="0"/>
        <v>0</v>
      </c>
      <c r="G19" s="125"/>
      <c r="H19" s="95"/>
      <c r="I19" s="132">
        <f t="shared" si="1"/>
        <v>0</v>
      </c>
      <c r="J19" s="133">
        <f>IF(C19=0,0,IF(C19&gt;1,0,IF(D19&lt;=введение!C$20*25,I19/100,I19/10)))</f>
        <v>0</v>
      </c>
      <c r="K19" s="133">
        <f>IF(C19=0,0,IF(C19=1,0,IF(C19=3,I19/10,IF(C19=2,IF(D19&lt;=введение!C$20*25,I19/100,I19/10)))))</f>
        <v>0</v>
      </c>
      <c r="L19" s="95"/>
      <c r="M19" s="21">
        <f t="shared" si="2"/>
        <v>0</v>
      </c>
      <c r="N19" s="95"/>
      <c r="O19" s="21">
        <f t="shared" si="3"/>
        <v>0</v>
      </c>
      <c r="P19" s="95"/>
      <c r="Q19" s="21">
        <f t="shared" si="4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5"/>
        <v>0</v>
      </c>
      <c r="V19" s="21">
        <f t="shared" si="6"/>
        <v>0</v>
      </c>
      <c r="W19" s="95"/>
      <c r="X19" s="131">
        <f>IF(C19=3,0,IF(D19&lt;=введение!C$20*25,0,0))</f>
        <v>0</v>
      </c>
      <c r="Y19" s="135">
        <f t="shared" si="7"/>
        <v>0</v>
      </c>
      <c r="Z19" s="135">
        <f>IF(OR(Y19&lt;=0,),0,MIN(MIN(введение!$C$17,Y19),введение!$C$17))</f>
        <v>0</v>
      </c>
      <c r="AA19" s="135">
        <f>Z19*введение!C$18</f>
        <v>0</v>
      </c>
      <c r="AB19" s="135">
        <f>Z19*введение!C$22</f>
        <v>0</v>
      </c>
      <c r="AC19" s="21"/>
    </row>
    <row r="20" spans="1:29" x14ac:dyDescent="0.25">
      <c r="A20" s="94">
        <v>7</v>
      </c>
      <c r="B20" s="94"/>
      <c r="C20" s="94"/>
      <c r="D20" s="147"/>
      <c r="E20" s="148">
        <f>IF(C20=3,0,IF((D20-O20)&gt;введение!C$11,введение!C$11,IF((D20-O20)&lt;=введение!C$11,D20-O20,0)))</f>
        <v>0</v>
      </c>
      <c r="F20" s="147">
        <f t="shared" si="0"/>
        <v>0</v>
      </c>
      <c r="G20" s="125"/>
      <c r="H20" s="95"/>
      <c r="I20" s="132">
        <f t="shared" si="1"/>
        <v>0</v>
      </c>
      <c r="J20" s="133">
        <f>IF(C20=0,0,IF(C20&gt;1,0,IF(D20&lt;=введение!C$20*25,I20/100,I20/10)))</f>
        <v>0</v>
      </c>
      <c r="K20" s="133">
        <f>IF(C20=0,0,IF(C20=1,0,IF(C20=3,I20/10,IF(C20=2,IF(D20&lt;=введение!C$20*25,I20/100,I20/10)))))</f>
        <v>0</v>
      </c>
      <c r="L20" s="95"/>
      <c r="M20" s="21">
        <f t="shared" si="2"/>
        <v>0</v>
      </c>
      <c r="N20" s="95"/>
      <c r="O20" s="21">
        <f t="shared" si="3"/>
        <v>0</v>
      </c>
      <c r="P20" s="95"/>
      <c r="Q20" s="21">
        <f t="shared" si="4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5"/>
        <v>0</v>
      </c>
      <c r="V20" s="21">
        <f t="shared" si="6"/>
        <v>0</v>
      </c>
      <c r="W20" s="95"/>
      <c r="X20" s="131">
        <f>IF(C20=3,0,IF(D20&lt;=введение!C$20*25,0,0))</f>
        <v>0</v>
      </c>
      <c r="Y20" s="135">
        <f t="shared" si="7"/>
        <v>0</v>
      </c>
      <c r="Z20" s="135">
        <f>IF(OR(Y20&lt;=0,),0,MIN(MIN(введение!$C$17,Y20),введение!$C$17))</f>
        <v>0</v>
      </c>
      <c r="AA20" s="135">
        <f>Z20*введение!C$18</f>
        <v>0</v>
      </c>
      <c r="AB20" s="135">
        <f>Z20*введение!C$22</f>
        <v>0</v>
      </c>
      <c r="AC20" s="21"/>
    </row>
    <row r="21" spans="1:29" x14ac:dyDescent="0.25">
      <c r="A21" s="94">
        <v>8</v>
      </c>
      <c r="B21" s="94"/>
      <c r="C21" s="94"/>
      <c r="D21" s="147"/>
      <c r="E21" s="148">
        <f>IF(C21=3,0,IF((D21-O21)&gt;введение!C$11,введение!C$11,IF((D21-O21)&lt;=введение!C$11,D21-O21,0)))</f>
        <v>0</v>
      </c>
      <c r="F21" s="147">
        <f t="shared" si="0"/>
        <v>0</v>
      </c>
      <c r="G21" s="125"/>
      <c r="H21" s="95"/>
      <c r="I21" s="132">
        <f t="shared" si="1"/>
        <v>0</v>
      </c>
      <c r="J21" s="133">
        <f>IF(C21=0,0,IF(C21&gt;1,0,IF(D21&lt;=введение!C$20*25,I21/100,I21/10)))</f>
        <v>0</v>
      </c>
      <c r="K21" s="133">
        <f>IF(C21=0,0,IF(C21=1,0,IF(C21=3,I21/10,IF(C21=2,IF(D21&lt;=введение!C$20*25,I21/100,I21/10)))))</f>
        <v>0</v>
      </c>
      <c r="L21" s="95"/>
      <c r="M21" s="21">
        <f t="shared" si="2"/>
        <v>0</v>
      </c>
      <c r="N21" s="95"/>
      <c r="O21" s="21">
        <f t="shared" si="3"/>
        <v>0</v>
      </c>
      <c r="P21" s="95"/>
      <c r="Q21" s="21">
        <f t="shared" si="4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5"/>
        <v>0</v>
      </c>
      <c r="V21" s="21">
        <f t="shared" si="6"/>
        <v>0</v>
      </c>
      <c r="W21" s="95"/>
      <c r="X21" s="131">
        <f>IF(C21=3,0,IF(D21&lt;=введение!C$20*25,0,0))</f>
        <v>0</v>
      </c>
      <c r="Y21" s="135">
        <f t="shared" si="7"/>
        <v>0</v>
      </c>
      <c r="Z21" s="135">
        <f>IF(OR(Y21&lt;=0,),0,MIN(MIN(введение!$C$17,Y21),введение!$C$17))</f>
        <v>0</v>
      </c>
      <c r="AA21" s="135">
        <f>Z21*введение!C$18</f>
        <v>0</v>
      </c>
      <c r="AB21" s="135">
        <f>Z21*введение!C$22</f>
        <v>0</v>
      </c>
      <c r="AC21" s="21"/>
    </row>
    <row r="22" spans="1:29" x14ac:dyDescent="0.25">
      <c r="A22" s="94">
        <v>9</v>
      </c>
      <c r="B22" s="94"/>
      <c r="C22" s="94"/>
      <c r="D22" s="147"/>
      <c r="E22" s="148">
        <f>IF(C22=3,0,IF((D22-O22)&gt;введение!C$11,введение!C$11,IF((D22-O22)&lt;=введение!C$11,D22-O22,0)))</f>
        <v>0</v>
      </c>
      <c r="F22" s="147">
        <f t="shared" si="0"/>
        <v>0</v>
      </c>
      <c r="G22" s="125"/>
      <c r="H22" s="95"/>
      <c r="I22" s="132">
        <f t="shared" si="1"/>
        <v>0</v>
      </c>
      <c r="J22" s="133">
        <f>IF(C22=0,0,IF(C22&gt;1,0,IF(D22&lt;=введение!C$20*25,I22/100,I22/10)))</f>
        <v>0</v>
      </c>
      <c r="K22" s="133">
        <f>IF(C22=0,0,IF(C22=1,0,IF(C22=3,I22/10,IF(C22=2,IF(D22&lt;=введение!C$20*25,I22/100,I22/10)))))</f>
        <v>0</v>
      </c>
      <c r="L22" s="95"/>
      <c r="M22" s="21">
        <f t="shared" si="2"/>
        <v>0</v>
      </c>
      <c r="N22" s="95"/>
      <c r="O22" s="21">
        <f t="shared" si="3"/>
        <v>0</v>
      </c>
      <c r="P22" s="95"/>
      <c r="Q22" s="21">
        <f t="shared" si="4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5"/>
        <v>0</v>
      </c>
      <c r="V22" s="21">
        <f t="shared" si="6"/>
        <v>0</v>
      </c>
      <c r="W22" s="95"/>
      <c r="X22" s="131">
        <f>IF(C22=3,0,IF(D22&lt;=введение!C$20*25,0,0))</f>
        <v>0</v>
      </c>
      <c r="Y22" s="135">
        <f t="shared" si="7"/>
        <v>0</v>
      </c>
      <c r="Z22" s="135">
        <f>IF(OR(Y22&lt;=0,),0,MIN(MIN(введение!$C$17,Y22),введение!$C$17))</f>
        <v>0</v>
      </c>
      <c r="AA22" s="135">
        <f>Z22*введение!C$18</f>
        <v>0</v>
      </c>
      <c r="AB22" s="135">
        <f>Z22*введение!C$22</f>
        <v>0</v>
      </c>
      <c r="AC22" s="21"/>
    </row>
    <row r="23" spans="1:29" x14ac:dyDescent="0.25">
      <c r="A23" s="94">
        <v>10</v>
      </c>
      <c r="B23" s="94"/>
      <c r="C23" s="94"/>
      <c r="D23" s="147"/>
      <c r="E23" s="148">
        <f>IF(C23=3,0,IF((D23-O23)&gt;введение!C$11,введение!C$11,IF((D23-O23)&lt;=введение!C$11,D23-O23,0)))</f>
        <v>0</v>
      </c>
      <c r="F23" s="147">
        <f t="shared" si="0"/>
        <v>0</v>
      </c>
      <c r="G23" s="125"/>
      <c r="H23" s="95"/>
      <c r="I23" s="132">
        <f t="shared" si="1"/>
        <v>0</v>
      </c>
      <c r="J23" s="133">
        <f>IF(C23=0,0,IF(C23&gt;1,0,IF(D23&lt;=введение!C$20*25,I23/100,I23/10)))</f>
        <v>0</v>
      </c>
      <c r="K23" s="133">
        <f>IF(C23=0,0,IF(C23=1,0,IF(C23=3,I23/10,IF(C23=2,IF(D23&lt;=введение!C$20*25,I23/100,I23/10)))))</f>
        <v>0</v>
      </c>
      <c r="L23" s="95"/>
      <c r="M23" s="21">
        <f t="shared" si="2"/>
        <v>0</v>
      </c>
      <c r="N23" s="95"/>
      <c r="O23" s="21">
        <f t="shared" si="3"/>
        <v>0</v>
      </c>
      <c r="P23" s="95"/>
      <c r="Q23" s="21">
        <f t="shared" si="4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5"/>
        <v>0</v>
      </c>
      <c r="V23" s="21">
        <f t="shared" si="6"/>
        <v>0</v>
      </c>
      <c r="W23" s="95"/>
      <c r="X23" s="131">
        <f>IF(C23=3,0,IF(D23&lt;=введение!C$20*25,0,0))</f>
        <v>0</v>
      </c>
      <c r="Y23" s="135">
        <f t="shared" si="7"/>
        <v>0</v>
      </c>
      <c r="Z23" s="135">
        <f>IF(OR(Y23&lt;=0,),0,MIN(MIN(введение!$C$17,Y23),введение!$C$17))</f>
        <v>0</v>
      </c>
      <c r="AA23" s="135">
        <f>Z23*введение!C$18</f>
        <v>0</v>
      </c>
      <c r="AB23" s="135">
        <f>Z23*введение!C$22</f>
        <v>0</v>
      </c>
      <c r="AC23" s="21"/>
    </row>
    <row r="24" spans="1:29" x14ac:dyDescent="0.25">
      <c r="A24" s="94">
        <v>11</v>
      </c>
      <c r="B24" s="94"/>
      <c r="C24" s="94"/>
      <c r="D24" s="147"/>
      <c r="E24" s="148">
        <f>IF(C24=3,0,IF((D24-O24)&gt;введение!C$11,введение!C$11,IF((D24-O24)&lt;=введение!C$11,D24-O24,0)))</f>
        <v>0</v>
      </c>
      <c r="F24" s="147">
        <f t="shared" si="0"/>
        <v>0</v>
      </c>
      <c r="G24" s="125"/>
      <c r="H24" s="95"/>
      <c r="I24" s="132">
        <f t="shared" si="1"/>
        <v>0</v>
      </c>
      <c r="J24" s="133">
        <f>IF(C24=0,0,IF(C24&gt;1,0,IF(D24&lt;=введение!C$20*25,I24/100,I24/10)))</f>
        <v>0</v>
      </c>
      <c r="K24" s="133">
        <f>IF(C24=0,0,IF(C24=1,0,IF(C24=3,I24/10,IF(C24=2,IF(D24&lt;=введение!C$20*25,I24/100,I24/10)))))</f>
        <v>0</v>
      </c>
      <c r="L24" s="95"/>
      <c r="M24" s="21">
        <f t="shared" si="2"/>
        <v>0</v>
      </c>
      <c r="N24" s="95"/>
      <c r="O24" s="21">
        <f t="shared" si="3"/>
        <v>0</v>
      </c>
      <c r="P24" s="95"/>
      <c r="Q24" s="21">
        <f t="shared" si="4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5"/>
        <v>0</v>
      </c>
      <c r="V24" s="21">
        <f t="shared" si="6"/>
        <v>0</v>
      </c>
      <c r="W24" s="95"/>
      <c r="X24" s="131">
        <f>IF(C24=3,0,IF(D24&lt;=введение!C$20*25,0,0))</f>
        <v>0</v>
      </c>
      <c r="Y24" s="135">
        <f t="shared" si="7"/>
        <v>0</v>
      </c>
      <c r="Z24" s="135">
        <f>IF(OR(Y24&lt;=0,),0,MIN(MIN(введение!$C$17,Y24),введение!$C$17))</f>
        <v>0</v>
      </c>
      <c r="AA24" s="135">
        <f>Z24*введение!C$18</f>
        <v>0</v>
      </c>
      <c r="AB24" s="135">
        <f>Z24*введение!C$22</f>
        <v>0</v>
      </c>
      <c r="AC24" s="21"/>
    </row>
    <row r="25" spans="1:29" x14ac:dyDescent="0.25">
      <c r="A25" s="94">
        <v>12</v>
      </c>
      <c r="B25" s="94"/>
      <c r="C25" s="94"/>
      <c r="D25" s="147"/>
      <c r="E25" s="148">
        <f>IF(C25=3,0,IF((D25-O25)&gt;введение!C$11,введение!C$11,IF((D25-O25)&lt;=введение!C$11,D25-O25,0)))</f>
        <v>0</v>
      </c>
      <c r="F25" s="147">
        <f t="shared" si="0"/>
        <v>0</v>
      </c>
      <c r="G25" s="125"/>
      <c r="H25" s="95"/>
      <c r="I25" s="132">
        <f t="shared" si="1"/>
        <v>0</v>
      </c>
      <c r="J25" s="133">
        <f>IF(C25=0,0,IF(C25&gt;1,0,IF(D25&lt;=введение!C$20*25,I25/100,I25/10)))</f>
        <v>0</v>
      </c>
      <c r="K25" s="133">
        <f>IF(C25=0,0,IF(C25=1,0,IF(C25=3,I25/10,IF(C25=2,IF(D25&lt;=введение!C$20*25,I25/100,I25/10)))))</f>
        <v>0</v>
      </c>
      <c r="L25" s="95"/>
      <c r="M25" s="21">
        <f t="shared" si="2"/>
        <v>0</v>
      </c>
      <c r="N25" s="95"/>
      <c r="O25" s="21">
        <f t="shared" si="3"/>
        <v>0</v>
      </c>
      <c r="P25" s="95"/>
      <c r="Q25" s="21">
        <f t="shared" si="4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5"/>
        <v>0</v>
      </c>
      <c r="V25" s="21">
        <f t="shared" si="6"/>
        <v>0</v>
      </c>
      <c r="W25" s="95"/>
      <c r="X25" s="131">
        <f>IF(C25=3,0,IF(D25&lt;=введение!C$20*25,0,0))</f>
        <v>0</v>
      </c>
      <c r="Y25" s="135">
        <f t="shared" si="7"/>
        <v>0</v>
      </c>
      <c r="Z25" s="135">
        <f>IF(OR(Y25&lt;=0,),0,MIN(MIN(введение!$C$17,Y25),введение!$C$17))</f>
        <v>0</v>
      </c>
      <c r="AA25" s="135">
        <f>Z25*введение!C$18</f>
        <v>0</v>
      </c>
      <c r="AB25" s="135">
        <f>Z25*введение!C$22</f>
        <v>0</v>
      </c>
      <c r="AC25" s="21"/>
    </row>
    <row r="26" spans="1:29" x14ac:dyDescent="0.25">
      <c r="A26" s="325" t="s">
        <v>73</v>
      </c>
      <c r="B26" s="326"/>
      <c r="C26" s="90"/>
      <c r="D26" s="136">
        <f>SUM(D14:D25)</f>
        <v>270000</v>
      </c>
      <c r="E26" s="136">
        <f t="shared" ref="E26:U26" si="8">SUM(E14:E25)</f>
        <v>85000</v>
      </c>
      <c r="F26" s="136">
        <f t="shared" si="8"/>
        <v>1900</v>
      </c>
      <c r="G26" s="22">
        <f t="shared" si="8"/>
        <v>0</v>
      </c>
      <c r="H26" s="22">
        <f t="shared" si="8"/>
        <v>0</v>
      </c>
      <c r="I26" s="134">
        <f t="shared" si="8"/>
        <v>164100</v>
      </c>
      <c r="J26" s="134">
        <f t="shared" si="8"/>
        <v>5540</v>
      </c>
      <c r="K26" s="134">
        <f t="shared" si="8"/>
        <v>10870</v>
      </c>
      <c r="L26" s="22">
        <f t="shared" si="8"/>
        <v>0</v>
      </c>
      <c r="M26" s="22">
        <f t="shared" si="8"/>
        <v>190000</v>
      </c>
      <c r="N26" s="22">
        <f>SUM(N14:N25)</f>
        <v>0</v>
      </c>
      <c r="O26" s="22">
        <f>SUM(O14:O25)</f>
        <v>19000</v>
      </c>
      <c r="P26" s="22">
        <f t="shared" si="8"/>
        <v>0</v>
      </c>
      <c r="Q26" s="22">
        <f t="shared" si="8"/>
        <v>171000</v>
      </c>
      <c r="R26" s="22">
        <f t="shared" si="8"/>
        <v>171000</v>
      </c>
      <c r="S26" s="22">
        <f>SUM(S14:S25)</f>
        <v>5985</v>
      </c>
      <c r="T26" s="22">
        <f t="shared" si="8"/>
        <v>0</v>
      </c>
      <c r="U26" s="22">
        <f t="shared" si="8"/>
        <v>0</v>
      </c>
      <c r="V26" s="22">
        <f t="shared" ref="V26:AB26" si="9">SUM(V14:V25)</f>
        <v>3</v>
      </c>
      <c r="W26" s="22">
        <f t="shared" si="9"/>
        <v>0</v>
      </c>
      <c r="X26" s="136">
        <f t="shared" si="9"/>
        <v>0</v>
      </c>
      <c r="Y26" s="136">
        <f t="shared" si="9"/>
        <v>190000</v>
      </c>
      <c r="Z26" s="136">
        <f t="shared" si="9"/>
        <v>190000</v>
      </c>
      <c r="AA26" s="136">
        <f t="shared" si="9"/>
        <v>3800</v>
      </c>
      <c r="AB26" s="136">
        <f t="shared" si="9"/>
        <v>1900</v>
      </c>
      <c r="AC26" s="135">
        <f>IF(D26&gt;0,D26/V26,0)</f>
        <v>90000</v>
      </c>
    </row>
    <row r="27" spans="1:29" x14ac:dyDescent="0.25">
      <c r="A27" s="50"/>
      <c r="B27" s="50"/>
      <c r="C27" s="50"/>
      <c r="D27" s="50"/>
      <c r="E27" s="50"/>
      <c r="F27" s="50"/>
      <c r="G27" s="50"/>
    </row>
    <row r="28" spans="1:29" x14ac:dyDescent="0.25">
      <c r="A28" s="43"/>
      <c r="B28" s="43"/>
      <c r="C28" s="43"/>
      <c r="D28" s="44"/>
      <c r="E28" s="44"/>
      <c r="F28" s="50"/>
      <c r="G28" s="50"/>
    </row>
    <row r="29" spans="1:29" x14ac:dyDescent="0.25">
      <c r="A29" s="45" t="s">
        <v>62</v>
      </c>
      <c r="B29" s="37"/>
      <c r="C29" s="37"/>
      <c r="D29"/>
      <c r="E29"/>
      <c r="F29"/>
      <c r="G29"/>
    </row>
    <row r="30" spans="1:29" x14ac:dyDescent="0.25">
      <c r="A30" s="37"/>
      <c r="B30" s="37"/>
      <c r="C30" s="37"/>
      <c r="D30"/>
      <c r="E30"/>
      <c r="F30"/>
      <c r="G30"/>
    </row>
    <row r="31" spans="1:29" x14ac:dyDescent="0.25">
      <c r="A31" s="43"/>
      <c r="B31" s="43"/>
      <c r="C31" s="43"/>
      <c r="D31" s="44"/>
      <c r="E31" s="44"/>
      <c r="F31" s="50"/>
      <c r="G31" s="50"/>
    </row>
    <row r="32" spans="1:29" x14ac:dyDescent="0.25">
      <c r="A32" s="45" t="s">
        <v>63</v>
      </c>
      <c r="B32" s="37"/>
      <c r="C32" s="37"/>
      <c r="D32"/>
      <c r="E32"/>
      <c r="F32"/>
      <c r="G32"/>
    </row>
    <row r="33" spans="1:7" x14ac:dyDescent="0.25">
      <c r="A33" s="37"/>
      <c r="B33" s="37"/>
      <c r="C33" s="37"/>
      <c r="D33"/>
      <c r="E33"/>
      <c r="F33"/>
      <c r="G33"/>
    </row>
    <row r="34" spans="1:7" x14ac:dyDescent="0.25">
      <c r="A34" s="43"/>
      <c r="B34" s="43"/>
      <c r="C34" s="43"/>
      <c r="D34" s="44"/>
      <c r="E34" s="44"/>
      <c r="F34" s="50"/>
      <c r="G34" s="50"/>
    </row>
    <row r="35" spans="1:7" x14ac:dyDescent="0.25">
      <c r="A35" s="45" t="s">
        <v>74</v>
      </c>
      <c r="B35" s="37"/>
      <c r="C35" s="37"/>
      <c r="D35"/>
      <c r="E35"/>
      <c r="F35"/>
      <c r="G35"/>
    </row>
    <row r="36" spans="1:7" x14ac:dyDescent="0.25">
      <c r="A36" s="37"/>
      <c r="B36" s="37"/>
      <c r="C36" s="37"/>
      <c r="D36"/>
      <c r="E36"/>
      <c r="F36"/>
      <c r="G36"/>
    </row>
    <row r="37" spans="1:7" x14ac:dyDescent="0.25">
      <c r="A37" s="43"/>
      <c r="B37" s="43"/>
      <c r="C37" s="43"/>
      <c r="D37" s="44"/>
      <c r="E37"/>
      <c r="F37"/>
      <c r="G37"/>
    </row>
    <row r="38" spans="1:7" x14ac:dyDescent="0.25">
      <c r="A38" s="45" t="s">
        <v>64</v>
      </c>
      <c r="B38" s="37"/>
      <c r="C38" s="37"/>
      <c r="D38"/>
      <c r="E38"/>
      <c r="F38"/>
      <c r="G38"/>
    </row>
    <row r="39" spans="1:7" x14ac:dyDescent="0.25">
      <c r="A39" s="50"/>
      <c r="B39" s="50"/>
      <c r="C39" s="50"/>
      <c r="D39" s="50"/>
      <c r="E39" s="50"/>
      <c r="F39" s="50"/>
      <c r="G39" s="50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AC38"/>
  <sheetViews>
    <sheetView topLeftCell="A10" workbookViewId="0">
      <selection activeCell="F17" sqref="F17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7" width="13.7109375" style="17" customWidth="1"/>
    <col min="8" max="8" width="8.85546875" style="17" bestFit="1" customWidth="1"/>
    <col min="9" max="9" width="13.28515625" style="17" bestFit="1" customWidth="1"/>
    <col min="10" max="10" width="11" style="17" customWidth="1"/>
    <col min="11" max="11" width="9.570312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3" width="8.7109375" style="17"/>
    <col min="24" max="24" width="13.7109375" style="5" customWidth="1"/>
    <col min="25" max="25" width="12.85546875" style="17" customWidth="1"/>
    <col min="26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L2" s="19"/>
      <c r="T2" s="18" t="s">
        <v>14</v>
      </c>
    </row>
    <row r="3" spans="1:29" x14ac:dyDescent="0.25">
      <c r="A3" s="20"/>
      <c r="B3" s="20"/>
      <c r="C3" s="20"/>
      <c r="D3" s="20"/>
      <c r="E3" s="20"/>
      <c r="F3" s="20"/>
      <c r="G3" s="20"/>
    </row>
    <row r="4" spans="1:29" x14ac:dyDescent="0.25">
      <c r="A4" s="20"/>
      <c r="B4" s="20"/>
      <c r="C4" s="20"/>
      <c r="D4" s="20"/>
      <c r="E4" s="20"/>
      <c r="F4" s="20"/>
      <c r="G4" s="20"/>
    </row>
    <row r="5" spans="1:29" x14ac:dyDescent="0.25">
      <c r="A5" s="58" t="s">
        <v>67</v>
      </c>
      <c r="B5" s="44"/>
      <c r="C5" s="44"/>
      <c r="D5" s="58"/>
      <c r="E5" s="58"/>
      <c r="F5" s="57"/>
      <c r="G5" s="57"/>
    </row>
    <row r="6" spans="1:29" x14ac:dyDescent="0.25">
      <c r="A6" s="36"/>
      <c r="B6" s="36"/>
      <c r="C6" s="36"/>
      <c r="D6" s="36"/>
      <c r="E6" s="36"/>
      <c r="F6" s="36"/>
      <c r="G6" s="36"/>
    </row>
    <row r="7" spans="1:29" x14ac:dyDescent="0.25">
      <c r="A7" s="36">
        <v>1</v>
      </c>
      <c r="B7" s="58" t="s">
        <v>68</v>
      </c>
      <c r="C7" s="58"/>
      <c r="D7" s="58"/>
      <c r="E7" s="58"/>
      <c r="F7" s="57"/>
      <c r="G7" s="57"/>
    </row>
    <row r="8" spans="1:29" x14ac:dyDescent="0.25">
      <c r="A8" s="36">
        <v>2</v>
      </c>
      <c r="B8" s="59" t="s">
        <v>15</v>
      </c>
      <c r="C8" s="59"/>
      <c r="D8" s="59"/>
      <c r="E8" s="76">
        <f>'№ 910 Декларация '!D8</f>
        <v>0</v>
      </c>
      <c r="F8" s="146"/>
      <c r="G8" s="146"/>
    </row>
    <row r="9" spans="1:29" x14ac:dyDescent="0.25">
      <c r="A9" s="36">
        <v>3</v>
      </c>
      <c r="B9" s="58" t="s">
        <v>93</v>
      </c>
      <c r="C9" s="58"/>
      <c r="D9" s="58"/>
      <c r="E9" s="58" t="str">
        <f>IF('№ 910 Декларация '!L12=1,"февраль","август")</f>
        <v>август</v>
      </c>
      <c r="F9" s="57"/>
      <c r="G9" s="57"/>
      <c r="H9" s="17">
        <f>'№ 910 Декларация '!O12</f>
        <v>2020</v>
      </c>
    </row>
    <row r="10" spans="1:29" x14ac:dyDescent="0.25">
      <c r="A10" s="50"/>
      <c r="B10" s="50"/>
      <c r="C10" s="50"/>
      <c r="D10" s="50"/>
      <c r="E10" s="50"/>
      <c r="F10" s="50"/>
      <c r="G10" s="50"/>
    </row>
    <row r="11" spans="1:29" ht="43.5" customHeight="1" x14ac:dyDescent="0.25">
      <c r="A11" s="324" t="s">
        <v>172</v>
      </c>
      <c r="B11" s="324"/>
      <c r="C11" s="324"/>
      <c r="D11" s="324"/>
      <c r="E11" s="324"/>
      <c r="F11" s="324"/>
      <c r="G11" s="324"/>
      <c r="H11" s="324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132</v>
      </c>
      <c r="D13" s="60" t="s">
        <v>71</v>
      </c>
      <c r="E13" s="39" t="s">
        <v>211</v>
      </c>
      <c r="F13" s="39" t="s">
        <v>210</v>
      </c>
      <c r="G13" s="39" t="s">
        <v>209</v>
      </c>
      <c r="H13" s="60" t="s">
        <v>76</v>
      </c>
      <c r="I13" s="60" t="s">
        <v>77</v>
      </c>
      <c r="J13" s="39" t="s">
        <v>133</v>
      </c>
      <c r="K13" s="39" t="s">
        <v>134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188</v>
      </c>
      <c r="Y13" s="39" t="s">
        <v>187</v>
      </c>
      <c r="Z13" s="39" t="s">
        <v>122</v>
      </c>
      <c r="AA13" s="39" t="s">
        <v>124</v>
      </c>
      <c r="AB13" s="39" t="s">
        <v>206</v>
      </c>
      <c r="AC13" s="39" t="s">
        <v>129</v>
      </c>
    </row>
    <row r="14" spans="1:29" x14ac:dyDescent="0.25">
      <c r="A14" s="94">
        <v>1</v>
      </c>
      <c r="B14" s="94" t="s">
        <v>263</v>
      </c>
      <c r="C14" s="94">
        <v>1</v>
      </c>
      <c r="D14" s="147">
        <v>110000</v>
      </c>
      <c r="E14" s="102">
        <f>IF(C14=3,0,IF((D14-O14)&gt;введение!C$11,введение!C$11,IF((D14-O14)&lt;=введение!C$11,D14-O14,0)))</f>
        <v>42500</v>
      </c>
      <c r="F14" s="147">
        <f>IF(AB14&gt;0,AB14,0)</f>
        <v>1100</v>
      </c>
      <c r="G14" s="147"/>
      <c r="H14" s="150"/>
      <c r="I14" s="135">
        <f>IF(C14=3,D14-H14,D14-H14-E14-O14-F14-G14)</f>
        <v>55400</v>
      </c>
      <c r="J14" s="149">
        <f>IF(C14=0,0,IF(C14&gt;1,0,IF(D14&lt;=введение!C$20*25,I14/100,I14/10)))</f>
        <v>5540</v>
      </c>
      <c r="K14" s="149">
        <f>IF(C14=0,0,IF(C14=1,0,IF(C14=3,I14/10,IF(C14=2,IF(D14&lt;=введение!C$20*25,I14/100,I14/10)))))</f>
        <v>0</v>
      </c>
      <c r="L14" s="95"/>
      <c r="M14" s="21">
        <f>IF(C14=3,0,IF(N14=1,0,D14-L14))</f>
        <v>110000</v>
      </c>
      <c r="N14" s="95"/>
      <c r="O14" s="21">
        <f>M14*10%</f>
        <v>11000</v>
      </c>
      <c r="P14" s="95"/>
      <c r="Q14" s="21">
        <f>IF(C14=3,0,IF(N14=1,0,D14-O14-P14))</f>
        <v>99000</v>
      </c>
      <c r="R14" s="21">
        <f>IF(OR(Q14&lt;=0,),0,MIN(MAX(введение!$C$11,Q14),введение!$C$14))</f>
        <v>99000</v>
      </c>
      <c r="S14" s="21">
        <f>ROUND(R14*введение!C$15,0)</f>
        <v>3465</v>
      </c>
      <c r="T14" s="95"/>
      <c r="U14" s="21">
        <f>ROUND(T14*0.05,0)</f>
        <v>0</v>
      </c>
      <c r="V14" s="21">
        <f>IF(D14=0,0,1)</f>
        <v>1</v>
      </c>
      <c r="W14" s="95"/>
      <c r="X14" s="131">
        <f>IF(C14=3,0,IF(D14&lt;=введение!C$20*25,0,0))</f>
        <v>0</v>
      </c>
      <c r="Y14" s="135">
        <f>IF(C14=3,0,IF(N14=1,0,D14-W14-X14))</f>
        <v>110000</v>
      </c>
      <c r="Z14" s="135">
        <f>IF(OR(Y14&lt;=0,),0,MIN(MIN(введение!$C$17,Y14),введение!$C$17))</f>
        <v>110000</v>
      </c>
      <c r="AA14" s="135">
        <f>Z14*введение!C$18</f>
        <v>2200</v>
      </c>
      <c r="AB14" s="135">
        <f>Z14*введение!C$22</f>
        <v>1100</v>
      </c>
      <c r="AC14" s="135"/>
    </row>
    <row r="15" spans="1:29" x14ac:dyDescent="0.25">
      <c r="A15" s="94">
        <v>2</v>
      </c>
      <c r="B15" s="94" t="s">
        <v>264</v>
      </c>
      <c r="C15" s="94">
        <v>2</v>
      </c>
      <c r="D15" s="147">
        <v>80000</v>
      </c>
      <c r="E15" s="102">
        <f>IF(C15=3,0,IF((D15-O15)&gt;введение!C$11,введение!C$11,IF((D15-O15)&lt;=введение!C$11,D15-O15,0)))</f>
        <v>42500</v>
      </c>
      <c r="F15" s="147">
        <f t="shared" ref="F15:F25" si="0">IF(AB15&gt;0,AB15,0)</f>
        <v>800</v>
      </c>
      <c r="G15" s="147"/>
      <c r="H15" s="150"/>
      <c r="I15" s="135">
        <f t="shared" ref="I15:I25" si="1">IF(C15=3,D15-H15,D15-H15-E15-O15-F15-G15)</f>
        <v>28700</v>
      </c>
      <c r="J15" s="149">
        <f>IF(C15=0,0,IF(C15&gt;1,0,IF(D15&lt;=введение!C$20*25,I15/100,I15/10)))</f>
        <v>0</v>
      </c>
      <c r="K15" s="149">
        <f>IF(C15=0,0,IF(C15=1,0,IF(C15=3,I15/10,IF(C15=2,IF(D15&lt;=введение!C$20*25,I15/100,I15/10)))))</f>
        <v>2870</v>
      </c>
      <c r="L15" s="95"/>
      <c r="M15" s="21">
        <f t="shared" ref="M15:M25" si="2">IF(C15=3,0,IF(N15=1,0,D15-L15))</f>
        <v>80000</v>
      </c>
      <c r="N15" s="95"/>
      <c r="O15" s="21">
        <f t="shared" ref="O15:O25" si="3">M15*10%</f>
        <v>8000</v>
      </c>
      <c r="P15" s="95"/>
      <c r="Q15" s="21">
        <f t="shared" ref="Q15:Q25" si="4">IF(C15=3,0,IF(N15=1,0,D15-O15-P15))</f>
        <v>72000</v>
      </c>
      <c r="R15" s="21">
        <f>IF(OR(Q15&lt;=0,),0,MIN(MAX(введение!$C$11,Q15),введение!$C$14))</f>
        <v>72000</v>
      </c>
      <c r="S15" s="21">
        <f>ROUND(R15*введение!C$15,0)</f>
        <v>2520</v>
      </c>
      <c r="T15" s="95"/>
      <c r="U15" s="21">
        <f t="shared" ref="U15:U25" si="5">ROUND(T15*0.05,0)</f>
        <v>0</v>
      </c>
      <c r="V15" s="21">
        <f t="shared" ref="V15:V25" si="6">IF(D15=0,0,1)</f>
        <v>1</v>
      </c>
      <c r="W15" s="95"/>
      <c r="X15" s="131">
        <f>IF(C15=3,0,IF(D15&lt;=введение!C$20*25,0,0))</f>
        <v>0</v>
      </c>
      <c r="Y15" s="135">
        <f t="shared" ref="Y15:Y25" si="7">IF(C15=3,0,IF(N15=1,0,D15-W15-X15))</f>
        <v>80000</v>
      </c>
      <c r="Z15" s="135">
        <f>IF(OR(Y15&lt;=0,),0,MIN(MIN(введение!$C$17,Y15),введение!$C$17))</f>
        <v>80000</v>
      </c>
      <c r="AA15" s="135">
        <f>Z15*введение!C$18</f>
        <v>1600</v>
      </c>
      <c r="AB15" s="135">
        <f>Z15*введение!C$22</f>
        <v>800</v>
      </c>
      <c r="AC15" s="135"/>
    </row>
    <row r="16" spans="1:29" x14ac:dyDescent="0.25">
      <c r="A16" s="94">
        <v>3</v>
      </c>
      <c r="B16" s="94" t="s">
        <v>265</v>
      </c>
      <c r="C16" s="94">
        <v>3</v>
      </c>
      <c r="D16" s="147">
        <v>80000</v>
      </c>
      <c r="E16" s="102">
        <f>IF(C16=3,0,IF((D16-O16)&gt;введение!C$11,введение!C$11,IF((D16-O16)&lt;=введение!C$11,D16-O16,0)))</f>
        <v>0</v>
      </c>
      <c r="F16" s="147">
        <f t="shared" si="0"/>
        <v>0</v>
      </c>
      <c r="G16" s="147"/>
      <c r="H16" s="150"/>
      <c r="I16" s="135">
        <f t="shared" si="1"/>
        <v>80000</v>
      </c>
      <c r="J16" s="149">
        <f>IF(C16=0,0,IF(C16&gt;1,0,IF(D16&lt;=введение!C$20*25,I16/100,I16/10)))</f>
        <v>0</v>
      </c>
      <c r="K16" s="149">
        <f>IF(C16=0,0,IF(C16=1,0,IF(C16=3,I16/10,IF(C16=2,IF(D16&lt;=введение!C$20*25,I16/100,I16/10)))))</f>
        <v>8000</v>
      </c>
      <c r="L16" s="95"/>
      <c r="M16" s="21">
        <f t="shared" si="2"/>
        <v>0</v>
      </c>
      <c r="N16" s="95"/>
      <c r="O16" s="21">
        <f t="shared" si="3"/>
        <v>0</v>
      </c>
      <c r="P16" s="95"/>
      <c r="Q16" s="21">
        <f t="shared" si="4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5"/>
        <v>0</v>
      </c>
      <c r="V16" s="21">
        <f t="shared" si="6"/>
        <v>1</v>
      </c>
      <c r="W16" s="95"/>
      <c r="X16" s="131">
        <f>IF(C16=3,0,IF(D16&lt;=введение!C$20*25,0,0))</f>
        <v>0</v>
      </c>
      <c r="Y16" s="135">
        <f t="shared" si="7"/>
        <v>0</v>
      </c>
      <c r="Z16" s="135">
        <f>IF(OR(Y16&lt;=0,),0,MIN(MIN(введение!$C$17,Y16),введение!$C$17))</f>
        <v>0</v>
      </c>
      <c r="AA16" s="135">
        <f>Z16*введение!C$18</f>
        <v>0</v>
      </c>
      <c r="AB16" s="135">
        <f>Z16*введение!C$22</f>
        <v>0</v>
      </c>
      <c r="AC16" s="135"/>
    </row>
    <row r="17" spans="1:29" x14ac:dyDescent="0.25">
      <c r="A17" s="94">
        <v>4</v>
      </c>
      <c r="B17" s="94"/>
      <c r="C17" s="94"/>
      <c r="D17" s="94"/>
      <c r="E17" s="102">
        <f>IF(C17=3,0,IF((D17-O17)&gt;введение!C$11,введение!C$11,IF((D17-O17)&lt;=введение!C$11,D17-O17,0)))</f>
        <v>0</v>
      </c>
      <c r="F17" s="147">
        <f t="shared" si="0"/>
        <v>0</v>
      </c>
      <c r="G17" s="147"/>
      <c r="H17" s="150"/>
      <c r="I17" s="135">
        <f t="shared" si="1"/>
        <v>0</v>
      </c>
      <c r="J17" s="149">
        <f>IF(C17=0,0,IF(C17&gt;1,0,IF(D17&lt;=введение!C$20*25,I17/100,I17/10)))</f>
        <v>0</v>
      </c>
      <c r="K17" s="149">
        <f>IF(C17=0,0,IF(C17=1,0,IF(C17=3,I17/10,IF(C17=2,IF(D17&lt;=введение!C$20*25,I17/100,I17/10)))))</f>
        <v>0</v>
      </c>
      <c r="L17" s="95"/>
      <c r="M17" s="21">
        <f t="shared" si="2"/>
        <v>0</v>
      </c>
      <c r="N17" s="95"/>
      <c r="O17" s="21">
        <f t="shared" si="3"/>
        <v>0</v>
      </c>
      <c r="P17" s="95"/>
      <c r="Q17" s="21">
        <f t="shared" si="4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5"/>
        <v>0</v>
      </c>
      <c r="V17" s="21">
        <f t="shared" si="6"/>
        <v>0</v>
      </c>
      <c r="W17" s="95"/>
      <c r="X17" s="131">
        <f>IF(C17=3,0,IF(D17&lt;=введение!C$20*25,0,0))</f>
        <v>0</v>
      </c>
      <c r="Y17" s="135">
        <f t="shared" si="7"/>
        <v>0</v>
      </c>
      <c r="Z17" s="135">
        <f>IF(OR(Y17&lt;=0,),0,MIN(MIN(введение!$C$17,Y17),введение!$C$17))</f>
        <v>0</v>
      </c>
      <c r="AA17" s="135">
        <f>Z17*введение!C$18</f>
        <v>0</v>
      </c>
      <c r="AB17" s="135">
        <f>Z17*введение!C$22</f>
        <v>0</v>
      </c>
      <c r="AC17" s="135"/>
    </row>
    <row r="18" spans="1:29" x14ac:dyDescent="0.25">
      <c r="A18" s="94">
        <v>5</v>
      </c>
      <c r="B18" s="94"/>
      <c r="C18" s="94"/>
      <c r="D18" s="94"/>
      <c r="E18" s="102">
        <f>IF(C18=3,0,IF((D18-O18)&gt;введение!C$11,введение!C$11,IF((D18-O18)&lt;=введение!C$11,D18-O18,0)))</f>
        <v>0</v>
      </c>
      <c r="F18" s="147">
        <f t="shared" si="0"/>
        <v>0</v>
      </c>
      <c r="G18" s="147"/>
      <c r="H18" s="150"/>
      <c r="I18" s="135">
        <f t="shared" si="1"/>
        <v>0</v>
      </c>
      <c r="J18" s="149">
        <f>IF(C18=0,0,IF(C18&gt;1,0,IF(D18&lt;=введение!C$20*25,I18/100,I18/10)))</f>
        <v>0</v>
      </c>
      <c r="K18" s="149">
        <f>IF(C18=0,0,IF(C18=1,0,IF(C18=3,I18/10,IF(C18=2,IF(D18&lt;=введение!C$20*25,I18/100,I18/10)))))</f>
        <v>0</v>
      </c>
      <c r="L18" s="95"/>
      <c r="M18" s="21">
        <f t="shared" si="2"/>
        <v>0</v>
      </c>
      <c r="N18" s="95"/>
      <c r="O18" s="21">
        <f t="shared" si="3"/>
        <v>0</v>
      </c>
      <c r="P18" s="95"/>
      <c r="Q18" s="21">
        <f t="shared" si="4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5"/>
        <v>0</v>
      </c>
      <c r="V18" s="21">
        <f t="shared" si="6"/>
        <v>0</v>
      </c>
      <c r="W18" s="95"/>
      <c r="X18" s="131">
        <f>IF(C18=3,0,IF(D18&lt;=введение!C$20*25,0,0))</f>
        <v>0</v>
      </c>
      <c r="Y18" s="135">
        <f t="shared" si="7"/>
        <v>0</v>
      </c>
      <c r="Z18" s="135">
        <f>IF(OR(Y18&lt;=0,),0,MIN(MIN(введение!$C$17,Y18),введение!$C$17))</f>
        <v>0</v>
      </c>
      <c r="AA18" s="135">
        <f>Z18*введение!C$18</f>
        <v>0</v>
      </c>
      <c r="AB18" s="135">
        <f>Z18*введение!C$22</f>
        <v>0</v>
      </c>
      <c r="AC18" s="135"/>
    </row>
    <row r="19" spans="1:29" x14ac:dyDescent="0.25">
      <c r="A19" s="94">
        <v>6</v>
      </c>
      <c r="B19" s="94"/>
      <c r="C19" s="94"/>
      <c r="D19" s="94"/>
      <c r="E19" s="102">
        <f>IF(C19=3,0,IF((D19-O19)&gt;введение!C$11,введение!C$11,IF((D19-O19)&lt;=введение!C$11,D19-O19,0)))</f>
        <v>0</v>
      </c>
      <c r="F19" s="147">
        <f t="shared" si="0"/>
        <v>0</v>
      </c>
      <c r="G19" s="147"/>
      <c r="H19" s="150"/>
      <c r="I19" s="135">
        <f t="shared" si="1"/>
        <v>0</v>
      </c>
      <c r="J19" s="149">
        <f>IF(C19=0,0,IF(C19&gt;1,0,IF(D19&lt;=введение!C$20*25,I19/100,I19/10)))</f>
        <v>0</v>
      </c>
      <c r="K19" s="149">
        <f>IF(C19=0,0,IF(C19=1,0,IF(C19=3,I19/10,IF(C19=2,IF(D19&lt;=введение!C$20*25,I19/100,I19/10)))))</f>
        <v>0</v>
      </c>
      <c r="L19" s="95"/>
      <c r="M19" s="21">
        <f t="shared" si="2"/>
        <v>0</v>
      </c>
      <c r="N19" s="95"/>
      <c r="O19" s="21">
        <f t="shared" si="3"/>
        <v>0</v>
      </c>
      <c r="P19" s="95"/>
      <c r="Q19" s="21">
        <f t="shared" si="4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5"/>
        <v>0</v>
      </c>
      <c r="V19" s="21">
        <f t="shared" si="6"/>
        <v>0</v>
      </c>
      <c r="W19" s="95"/>
      <c r="X19" s="131">
        <f>IF(C19=3,0,IF(D19&lt;=введение!C$20*25,0,0))</f>
        <v>0</v>
      </c>
      <c r="Y19" s="135">
        <f t="shared" si="7"/>
        <v>0</v>
      </c>
      <c r="Z19" s="135">
        <f>IF(OR(Y19&lt;=0,),0,MIN(MIN(введение!$C$17,Y19),введение!$C$17))</f>
        <v>0</v>
      </c>
      <c r="AA19" s="135">
        <f>Z19*введение!C$18</f>
        <v>0</v>
      </c>
      <c r="AB19" s="135">
        <f>Z19*введение!C$22</f>
        <v>0</v>
      </c>
      <c r="AC19" s="135"/>
    </row>
    <row r="20" spans="1:29" x14ac:dyDescent="0.25">
      <c r="A20" s="94">
        <v>7</v>
      </c>
      <c r="B20" s="94"/>
      <c r="C20" s="94"/>
      <c r="D20" s="94"/>
      <c r="E20" s="102">
        <f>IF(C20=3,0,IF((D20-O20)&gt;введение!C$11,введение!C$11,IF((D20-O20)&lt;=введение!C$11,D20-O20,0)))</f>
        <v>0</v>
      </c>
      <c r="F20" s="147">
        <f t="shared" si="0"/>
        <v>0</v>
      </c>
      <c r="G20" s="147"/>
      <c r="H20" s="150"/>
      <c r="I20" s="135">
        <f t="shared" si="1"/>
        <v>0</v>
      </c>
      <c r="J20" s="149">
        <f>IF(C20=0,0,IF(C20&gt;1,0,IF(D20&lt;=введение!C$20*25,I20/100,I20/10)))</f>
        <v>0</v>
      </c>
      <c r="K20" s="149">
        <f>IF(C20=0,0,IF(C20=1,0,IF(C20=3,I20/10,IF(C20=2,IF(D20&lt;=введение!C$20*25,I20/100,I20/10)))))</f>
        <v>0</v>
      </c>
      <c r="L20" s="95"/>
      <c r="M20" s="21">
        <f t="shared" si="2"/>
        <v>0</v>
      </c>
      <c r="N20" s="95"/>
      <c r="O20" s="21">
        <f t="shared" si="3"/>
        <v>0</v>
      </c>
      <c r="P20" s="95"/>
      <c r="Q20" s="21">
        <f t="shared" si="4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5"/>
        <v>0</v>
      </c>
      <c r="V20" s="21">
        <f t="shared" si="6"/>
        <v>0</v>
      </c>
      <c r="W20" s="95"/>
      <c r="X20" s="131">
        <f>IF(C20=3,0,IF(D20&lt;=введение!C$20*25,0,0))</f>
        <v>0</v>
      </c>
      <c r="Y20" s="135">
        <f t="shared" si="7"/>
        <v>0</v>
      </c>
      <c r="Z20" s="135">
        <f>IF(OR(Y20&lt;=0,),0,MIN(MIN(введение!$C$17,Y20),введение!$C$17))</f>
        <v>0</v>
      </c>
      <c r="AA20" s="135">
        <f>Z20*введение!C$18</f>
        <v>0</v>
      </c>
      <c r="AB20" s="135">
        <f>Z20*введение!C$22</f>
        <v>0</v>
      </c>
      <c r="AC20" s="135"/>
    </row>
    <row r="21" spans="1:29" x14ac:dyDescent="0.25">
      <c r="A21" s="94">
        <v>8</v>
      </c>
      <c r="B21" s="94"/>
      <c r="C21" s="94"/>
      <c r="D21" s="94"/>
      <c r="E21" s="102">
        <f>IF(C21=3,0,IF((D21-O21)&gt;введение!C$11,введение!C$11,IF((D21-O21)&lt;=введение!C$11,D21-O21,0)))</f>
        <v>0</v>
      </c>
      <c r="F21" s="147">
        <f t="shared" si="0"/>
        <v>0</v>
      </c>
      <c r="G21" s="147"/>
      <c r="H21" s="150"/>
      <c r="I21" s="135">
        <f t="shared" si="1"/>
        <v>0</v>
      </c>
      <c r="J21" s="149">
        <f>IF(C21=0,0,IF(C21&gt;1,0,IF(D21&lt;=введение!C$20*25,I21/100,I21/10)))</f>
        <v>0</v>
      </c>
      <c r="K21" s="149">
        <f>IF(C21=0,0,IF(C21=1,0,IF(C21=3,I21/10,IF(C21=2,IF(D21&lt;=введение!C$20*25,I21/100,I21/10)))))</f>
        <v>0</v>
      </c>
      <c r="L21" s="95"/>
      <c r="M21" s="21">
        <f t="shared" si="2"/>
        <v>0</v>
      </c>
      <c r="N21" s="95"/>
      <c r="O21" s="21">
        <f t="shared" si="3"/>
        <v>0</v>
      </c>
      <c r="P21" s="95"/>
      <c r="Q21" s="21">
        <f t="shared" si="4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5"/>
        <v>0</v>
      </c>
      <c r="V21" s="21">
        <f t="shared" si="6"/>
        <v>0</v>
      </c>
      <c r="W21" s="95"/>
      <c r="X21" s="131">
        <f>IF(C21=3,0,IF(D21&lt;=введение!C$20*25,0,0))</f>
        <v>0</v>
      </c>
      <c r="Y21" s="135">
        <f t="shared" si="7"/>
        <v>0</v>
      </c>
      <c r="Z21" s="135">
        <f>IF(OR(Y21&lt;=0,),0,MIN(MIN(введение!$C$17,Y21),введение!$C$17))</f>
        <v>0</v>
      </c>
      <c r="AA21" s="135">
        <f>Z21*введение!C$18</f>
        <v>0</v>
      </c>
      <c r="AB21" s="135">
        <f>Z21*введение!C$22</f>
        <v>0</v>
      </c>
      <c r="AC21" s="135"/>
    </row>
    <row r="22" spans="1:29" x14ac:dyDescent="0.25">
      <c r="A22" s="94">
        <v>9</v>
      </c>
      <c r="B22" s="94"/>
      <c r="C22" s="94"/>
      <c r="D22" s="94"/>
      <c r="E22" s="102">
        <f>IF(C22=3,0,IF((D22-O22)&gt;введение!C$11,введение!C$11,IF((D22-O22)&lt;=введение!C$11,D22-O22,0)))</f>
        <v>0</v>
      </c>
      <c r="F22" s="147">
        <f t="shared" si="0"/>
        <v>0</v>
      </c>
      <c r="G22" s="147"/>
      <c r="H22" s="150"/>
      <c r="I22" s="135">
        <f t="shared" si="1"/>
        <v>0</v>
      </c>
      <c r="J22" s="149">
        <f>IF(C22=0,0,IF(C22&gt;1,0,IF(D22&lt;=введение!C$20*25,I22/100,I22/10)))</f>
        <v>0</v>
      </c>
      <c r="K22" s="149">
        <f>IF(C22=0,0,IF(C22=1,0,IF(C22=3,I22/10,IF(C22=2,IF(D22&lt;=введение!C$20*25,I22/100,I22/10)))))</f>
        <v>0</v>
      </c>
      <c r="L22" s="95"/>
      <c r="M22" s="21">
        <f t="shared" si="2"/>
        <v>0</v>
      </c>
      <c r="N22" s="95"/>
      <c r="O22" s="21">
        <f t="shared" si="3"/>
        <v>0</v>
      </c>
      <c r="P22" s="95"/>
      <c r="Q22" s="21">
        <f t="shared" si="4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5"/>
        <v>0</v>
      </c>
      <c r="V22" s="21">
        <f t="shared" si="6"/>
        <v>0</v>
      </c>
      <c r="W22" s="95"/>
      <c r="X22" s="131">
        <f>IF(C22=3,0,IF(D22&lt;=введение!C$20*25,0,0))</f>
        <v>0</v>
      </c>
      <c r="Y22" s="135">
        <f t="shared" si="7"/>
        <v>0</v>
      </c>
      <c r="Z22" s="135">
        <f>IF(OR(Y22&lt;=0,),0,MIN(MIN(введение!$C$17,Y22),введение!$C$17))</f>
        <v>0</v>
      </c>
      <c r="AA22" s="135">
        <f>Z22*введение!C$18</f>
        <v>0</v>
      </c>
      <c r="AB22" s="135">
        <f>Z22*введение!C$22</f>
        <v>0</v>
      </c>
      <c r="AC22" s="135"/>
    </row>
    <row r="23" spans="1:29" x14ac:dyDescent="0.25">
      <c r="A23" s="94">
        <v>10</v>
      </c>
      <c r="B23" s="94"/>
      <c r="C23" s="94"/>
      <c r="D23" s="94"/>
      <c r="E23" s="102">
        <f>IF(C23=3,0,IF((D23-O23)&gt;введение!C$11,введение!C$11,IF((D23-O23)&lt;=введение!C$11,D23-O23,0)))</f>
        <v>0</v>
      </c>
      <c r="F23" s="147">
        <f t="shared" si="0"/>
        <v>0</v>
      </c>
      <c r="G23" s="147"/>
      <c r="H23" s="150"/>
      <c r="I23" s="135">
        <f t="shared" si="1"/>
        <v>0</v>
      </c>
      <c r="J23" s="149">
        <f>IF(C23=0,0,IF(C23&gt;1,0,IF(D23&lt;=введение!C$20*25,I23/100,I23/10)))</f>
        <v>0</v>
      </c>
      <c r="K23" s="149">
        <f>IF(C23=0,0,IF(C23=1,0,IF(C23=3,I23/10,IF(C23=2,IF(D23&lt;=введение!C$20*25,I23/100,I23/10)))))</f>
        <v>0</v>
      </c>
      <c r="L23" s="95"/>
      <c r="M23" s="21">
        <f t="shared" si="2"/>
        <v>0</v>
      </c>
      <c r="N23" s="95"/>
      <c r="O23" s="21">
        <f t="shared" si="3"/>
        <v>0</v>
      </c>
      <c r="P23" s="95"/>
      <c r="Q23" s="21">
        <f t="shared" si="4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5"/>
        <v>0</v>
      </c>
      <c r="V23" s="21">
        <f t="shared" si="6"/>
        <v>0</v>
      </c>
      <c r="W23" s="95"/>
      <c r="X23" s="131">
        <f>IF(C23=3,0,IF(D23&lt;=введение!C$20*25,0,0))</f>
        <v>0</v>
      </c>
      <c r="Y23" s="135">
        <f t="shared" si="7"/>
        <v>0</v>
      </c>
      <c r="Z23" s="135">
        <f>IF(OR(Y23&lt;=0,),0,MIN(MIN(введение!$C$17,Y23),введение!$C$17))</f>
        <v>0</v>
      </c>
      <c r="AA23" s="135">
        <f>Z23*введение!C$18</f>
        <v>0</v>
      </c>
      <c r="AB23" s="135">
        <f>Z23*введение!C$22</f>
        <v>0</v>
      </c>
      <c r="AC23" s="135"/>
    </row>
    <row r="24" spans="1:29" x14ac:dyDescent="0.25">
      <c r="A24" s="94">
        <v>11</v>
      </c>
      <c r="B24" s="94"/>
      <c r="C24" s="94"/>
      <c r="D24" s="94"/>
      <c r="E24" s="102">
        <f>IF(C24=3,0,IF((D24-O24)&gt;введение!C$11,введение!C$11,IF((D24-O24)&lt;=введение!C$11,D24-O24,0)))</f>
        <v>0</v>
      </c>
      <c r="F24" s="147">
        <f t="shared" si="0"/>
        <v>0</v>
      </c>
      <c r="G24" s="147"/>
      <c r="H24" s="150"/>
      <c r="I24" s="135">
        <f t="shared" si="1"/>
        <v>0</v>
      </c>
      <c r="J24" s="149">
        <f>IF(C24=0,0,IF(C24&gt;1,0,IF(D24&lt;=введение!C$20*25,I24/100,I24/10)))</f>
        <v>0</v>
      </c>
      <c r="K24" s="149">
        <f>IF(C24=0,0,IF(C24=1,0,IF(C24=3,I24/10,IF(C24=2,IF(D24&lt;=введение!C$20*25,I24/100,I24/10)))))</f>
        <v>0</v>
      </c>
      <c r="L24" s="95"/>
      <c r="M24" s="21">
        <f t="shared" si="2"/>
        <v>0</v>
      </c>
      <c r="N24" s="95"/>
      <c r="O24" s="21">
        <f t="shared" si="3"/>
        <v>0</v>
      </c>
      <c r="P24" s="95"/>
      <c r="Q24" s="21">
        <f t="shared" si="4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5"/>
        <v>0</v>
      </c>
      <c r="V24" s="21">
        <f t="shared" si="6"/>
        <v>0</v>
      </c>
      <c r="W24" s="95"/>
      <c r="X24" s="131">
        <f>IF(C24=3,0,IF(D24&lt;=введение!C$20*25,0,0))</f>
        <v>0</v>
      </c>
      <c r="Y24" s="135">
        <f t="shared" si="7"/>
        <v>0</v>
      </c>
      <c r="Z24" s="135">
        <f>IF(OR(Y24&lt;=0,),0,MIN(MIN(введение!$C$17,Y24),введение!$C$17))</f>
        <v>0</v>
      </c>
      <c r="AA24" s="135">
        <f>Z24*введение!C$18</f>
        <v>0</v>
      </c>
      <c r="AB24" s="135">
        <f>Z24*введение!C$22</f>
        <v>0</v>
      </c>
      <c r="AC24" s="135"/>
    </row>
    <row r="25" spans="1:29" x14ac:dyDescent="0.25">
      <c r="A25" s="94">
        <v>12</v>
      </c>
      <c r="B25" s="94"/>
      <c r="C25" s="94"/>
      <c r="D25" s="94"/>
      <c r="E25" s="102">
        <f>IF(C25=3,0,IF((D25-O25)&gt;введение!C$11,введение!C$11,IF((D25-O25)&lt;=введение!C$11,D25-O25,0)))</f>
        <v>0</v>
      </c>
      <c r="F25" s="147">
        <f t="shared" si="0"/>
        <v>0</v>
      </c>
      <c r="G25" s="147"/>
      <c r="H25" s="150"/>
      <c r="I25" s="135">
        <f t="shared" si="1"/>
        <v>0</v>
      </c>
      <c r="J25" s="149">
        <f>IF(C25=0,0,IF(C25&gt;1,0,IF(D25&lt;=введение!C$20*25,I25/100,I25/10)))</f>
        <v>0</v>
      </c>
      <c r="K25" s="149">
        <f>IF(C25=0,0,IF(C25=1,0,IF(C25=3,I25/10,IF(C25=2,IF(D25&lt;=введение!C$20*25,I25/100,I25/10)))))</f>
        <v>0</v>
      </c>
      <c r="L25" s="95"/>
      <c r="M25" s="21">
        <f t="shared" si="2"/>
        <v>0</v>
      </c>
      <c r="N25" s="95"/>
      <c r="O25" s="21">
        <f t="shared" si="3"/>
        <v>0</v>
      </c>
      <c r="P25" s="95"/>
      <c r="Q25" s="21">
        <f t="shared" si="4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5"/>
        <v>0</v>
      </c>
      <c r="V25" s="21">
        <f t="shared" si="6"/>
        <v>0</v>
      </c>
      <c r="W25" s="95"/>
      <c r="X25" s="131">
        <f>IF(C25=3,0,IF(D25&lt;=введение!C$20*25,0,0))</f>
        <v>0</v>
      </c>
      <c r="Y25" s="135">
        <f t="shared" si="7"/>
        <v>0</v>
      </c>
      <c r="Z25" s="135">
        <f>IF(OR(Y25&lt;=0,),0,MIN(MIN(введение!$C$17,Y25),введение!$C$17))</f>
        <v>0</v>
      </c>
      <c r="AA25" s="135">
        <f>Z25*введение!C$18</f>
        <v>0</v>
      </c>
      <c r="AB25" s="135">
        <f>Z25*введение!C$22</f>
        <v>0</v>
      </c>
      <c r="AC25" s="135"/>
    </row>
    <row r="26" spans="1:29" x14ac:dyDescent="0.25">
      <c r="A26" s="325" t="s">
        <v>73</v>
      </c>
      <c r="B26" s="326"/>
      <c r="C26" s="90"/>
      <c r="D26" s="22">
        <f>SUM(D14:D25)</f>
        <v>270000</v>
      </c>
      <c r="E26" s="22">
        <f t="shared" ref="E26:U26" si="8">SUM(E14:E25)</f>
        <v>85000</v>
      </c>
      <c r="F26" s="136">
        <f t="shared" si="8"/>
        <v>1900</v>
      </c>
      <c r="G26" s="136">
        <f t="shared" si="8"/>
        <v>0</v>
      </c>
      <c r="H26" s="136">
        <f t="shared" si="8"/>
        <v>0</v>
      </c>
      <c r="I26" s="136">
        <f t="shared" si="8"/>
        <v>164100</v>
      </c>
      <c r="J26" s="136">
        <f t="shared" si="8"/>
        <v>5540</v>
      </c>
      <c r="K26" s="136">
        <f t="shared" si="8"/>
        <v>10870</v>
      </c>
      <c r="L26" s="22">
        <f t="shared" si="8"/>
        <v>0</v>
      </c>
      <c r="M26" s="22">
        <f t="shared" si="8"/>
        <v>190000</v>
      </c>
      <c r="N26" s="22">
        <f>SUM(N14:N25)</f>
        <v>0</v>
      </c>
      <c r="O26" s="22">
        <f>SUM(O14:O25)</f>
        <v>19000</v>
      </c>
      <c r="P26" s="22">
        <f t="shared" si="8"/>
        <v>0</v>
      </c>
      <c r="Q26" s="22">
        <f t="shared" si="8"/>
        <v>171000</v>
      </c>
      <c r="R26" s="22">
        <f t="shared" si="8"/>
        <v>171000</v>
      </c>
      <c r="S26" s="22">
        <f>SUM(S14:S25)</f>
        <v>5985</v>
      </c>
      <c r="T26" s="22">
        <f t="shared" si="8"/>
        <v>0</v>
      </c>
      <c r="U26" s="22">
        <f t="shared" si="8"/>
        <v>0</v>
      </c>
      <c r="V26" s="22">
        <f t="shared" ref="V26:AB26" si="9">SUM(V14:V25)</f>
        <v>3</v>
      </c>
      <c r="W26" s="22">
        <f t="shared" si="9"/>
        <v>0</v>
      </c>
      <c r="X26" s="136">
        <f t="shared" si="9"/>
        <v>0</v>
      </c>
      <c r="Y26" s="136">
        <f t="shared" si="9"/>
        <v>190000</v>
      </c>
      <c r="Z26" s="136">
        <f t="shared" si="9"/>
        <v>190000</v>
      </c>
      <c r="AA26" s="136">
        <f t="shared" si="9"/>
        <v>3800</v>
      </c>
      <c r="AB26" s="136">
        <f t="shared" si="9"/>
        <v>1900</v>
      </c>
      <c r="AC26" s="135">
        <f>IF(D26&gt;0,D26/V26,0)</f>
        <v>90000</v>
      </c>
    </row>
    <row r="27" spans="1:29" x14ac:dyDescent="0.25">
      <c r="A27" s="43"/>
      <c r="B27" s="43"/>
      <c r="C27" s="43"/>
      <c r="D27" s="44"/>
      <c r="E27" s="44"/>
      <c r="F27" s="50"/>
      <c r="G27" s="50"/>
    </row>
    <row r="28" spans="1:29" x14ac:dyDescent="0.25">
      <c r="A28" s="45" t="s">
        <v>62</v>
      </c>
      <c r="B28" s="37"/>
      <c r="C28" s="37"/>
      <c r="D28"/>
      <c r="E28"/>
      <c r="F28"/>
      <c r="G28"/>
    </row>
    <row r="29" spans="1:29" x14ac:dyDescent="0.25">
      <c r="A29" s="37"/>
      <c r="B29" s="37"/>
      <c r="C29" s="37"/>
      <c r="D29"/>
      <c r="E29"/>
      <c r="F29"/>
      <c r="G29"/>
    </row>
    <row r="30" spans="1:29" x14ac:dyDescent="0.25">
      <c r="A30" s="43"/>
      <c r="B30" s="43"/>
      <c r="C30" s="43"/>
      <c r="D30" s="44"/>
      <c r="E30" s="44"/>
      <c r="F30" s="50"/>
      <c r="G30" s="50"/>
    </row>
    <row r="31" spans="1:29" x14ac:dyDescent="0.25">
      <c r="A31" s="45" t="s">
        <v>63</v>
      </c>
      <c r="B31" s="37"/>
      <c r="C31" s="37"/>
      <c r="D31"/>
      <c r="E31"/>
      <c r="F31"/>
      <c r="G31"/>
    </row>
    <row r="32" spans="1:29" x14ac:dyDescent="0.25">
      <c r="A32" s="37"/>
      <c r="B32" s="37"/>
      <c r="C32" s="37"/>
      <c r="D32"/>
      <c r="E32"/>
      <c r="F32"/>
      <c r="G32"/>
    </row>
    <row r="33" spans="1:7" x14ac:dyDescent="0.25">
      <c r="A33" s="43"/>
      <c r="B33" s="43"/>
      <c r="C33" s="43"/>
      <c r="D33" s="44"/>
      <c r="E33" s="44"/>
      <c r="F33" s="50"/>
      <c r="G33" s="50"/>
    </row>
    <row r="34" spans="1:7" x14ac:dyDescent="0.25">
      <c r="A34" s="45" t="s">
        <v>74</v>
      </c>
      <c r="B34" s="37"/>
      <c r="C34" s="37"/>
      <c r="D34"/>
      <c r="E34"/>
      <c r="F34"/>
      <c r="G34"/>
    </row>
    <row r="35" spans="1:7" x14ac:dyDescent="0.25">
      <c r="A35" s="37"/>
      <c r="B35" s="37"/>
      <c r="C35" s="37"/>
      <c r="D35"/>
      <c r="E35"/>
      <c r="F35"/>
      <c r="G35"/>
    </row>
    <row r="36" spans="1:7" x14ac:dyDescent="0.25">
      <c r="A36" s="43"/>
      <c r="B36" s="43"/>
      <c r="C36" s="43"/>
      <c r="D36" s="44"/>
      <c r="E36"/>
      <c r="F36"/>
      <c r="G36"/>
    </row>
    <row r="37" spans="1:7" x14ac:dyDescent="0.25">
      <c r="A37" s="45" t="s">
        <v>64</v>
      </c>
      <c r="B37" s="37"/>
      <c r="C37" s="37"/>
      <c r="D37"/>
      <c r="E37"/>
      <c r="F37"/>
      <c r="G37"/>
    </row>
    <row r="38" spans="1:7" x14ac:dyDescent="0.25">
      <c r="A38" s="50"/>
      <c r="B38" s="50"/>
      <c r="C38" s="50"/>
      <c r="D38" s="50"/>
      <c r="E38" s="50"/>
      <c r="F38" s="50"/>
      <c r="G38" s="50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AC38"/>
  <sheetViews>
    <sheetView topLeftCell="A13" workbookViewId="0">
      <selection activeCell="G19" sqref="G1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8" width="8.7109375" style="17"/>
    <col min="9" max="9" width="11" style="17" customWidth="1"/>
    <col min="10" max="10" width="9.5703125" style="17" customWidth="1"/>
    <col min="11" max="11" width="10" style="17" customWidth="1"/>
    <col min="12" max="12" width="12.5703125" style="17" customWidth="1"/>
    <col min="13" max="13" width="8.7109375" style="17"/>
    <col min="14" max="14" width="10.42578125" style="17" customWidth="1"/>
    <col min="15" max="15" width="13.7109375" style="17" customWidth="1"/>
    <col min="16" max="16" width="15.42578125" style="17" customWidth="1"/>
    <col min="17" max="17" width="16" style="17" customWidth="1"/>
    <col min="18" max="18" width="19.7109375" style="17" customWidth="1"/>
    <col min="19" max="19" width="13" style="17" customWidth="1"/>
    <col min="20" max="23" width="8.7109375" style="17"/>
    <col min="24" max="24" width="15" style="5" bestFit="1" customWidth="1"/>
    <col min="25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K2" s="19"/>
      <c r="S2" s="18" t="s">
        <v>14</v>
      </c>
    </row>
    <row r="3" spans="1:29" x14ac:dyDescent="0.25">
      <c r="A3" s="20"/>
      <c r="B3" s="20"/>
      <c r="C3" s="20"/>
      <c r="D3" s="20"/>
    </row>
    <row r="4" spans="1:29" x14ac:dyDescent="0.25">
      <c r="A4" s="20"/>
      <c r="B4" s="20"/>
      <c r="C4" s="20"/>
      <c r="D4" s="20"/>
    </row>
    <row r="5" spans="1:29" x14ac:dyDescent="0.25">
      <c r="A5" s="58" t="s">
        <v>67</v>
      </c>
      <c r="B5" s="44"/>
      <c r="C5" s="58"/>
      <c r="D5" s="58"/>
    </row>
    <row r="6" spans="1:29" x14ac:dyDescent="0.25">
      <c r="A6" s="36"/>
      <c r="B6" s="36"/>
      <c r="C6" s="36"/>
      <c r="D6" s="36"/>
    </row>
    <row r="7" spans="1:29" x14ac:dyDescent="0.25">
      <c r="A7" s="36">
        <v>1</v>
      </c>
      <c r="B7" s="58" t="s">
        <v>68</v>
      </c>
      <c r="C7" s="58"/>
      <c r="D7" s="58"/>
    </row>
    <row r="8" spans="1:29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9" x14ac:dyDescent="0.25">
      <c r="A9" s="36">
        <v>3</v>
      </c>
      <c r="B9" s="58" t="s">
        <v>93</v>
      </c>
      <c r="C9" s="58"/>
      <c r="D9" s="58" t="str">
        <f>IF('№ 910 Декларация '!L12=1,"март","сентябрь")</f>
        <v>сентябрь</v>
      </c>
      <c r="E9" s="17">
        <f>'№ 910 Декларация '!O12</f>
        <v>2020</v>
      </c>
    </row>
    <row r="10" spans="1:29" x14ac:dyDescent="0.25">
      <c r="A10" s="50"/>
      <c r="B10" s="50"/>
      <c r="C10" s="50"/>
      <c r="D10" s="50"/>
      <c r="E10" s="50"/>
      <c r="F10" s="50"/>
      <c r="G10" s="50"/>
    </row>
    <row r="11" spans="1:29" ht="43.5" customHeight="1" x14ac:dyDescent="0.25">
      <c r="A11" s="324" t="s">
        <v>170</v>
      </c>
      <c r="B11" s="324"/>
      <c r="C11" s="324"/>
      <c r="D11" s="324"/>
      <c r="E11" s="324"/>
      <c r="F11" s="324"/>
      <c r="G11" s="324"/>
      <c r="H11" s="324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132</v>
      </c>
      <c r="D13" s="39" t="s">
        <v>71</v>
      </c>
      <c r="E13" s="39" t="s">
        <v>211</v>
      </c>
      <c r="F13" s="39" t="s">
        <v>210</v>
      </c>
      <c r="G13" s="39" t="s">
        <v>209</v>
      </c>
      <c r="H13" s="60" t="s">
        <v>76</v>
      </c>
      <c r="I13" s="60" t="s">
        <v>77</v>
      </c>
      <c r="J13" s="39" t="s">
        <v>133</v>
      </c>
      <c r="K13" s="39" t="s">
        <v>134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188</v>
      </c>
      <c r="Y13" s="39" t="s">
        <v>187</v>
      </c>
      <c r="Z13" s="39" t="s">
        <v>122</v>
      </c>
      <c r="AA13" s="39" t="s">
        <v>124</v>
      </c>
      <c r="AB13" s="39" t="s">
        <v>206</v>
      </c>
      <c r="AC13" s="39" t="s">
        <v>129</v>
      </c>
    </row>
    <row r="14" spans="1:29" x14ac:dyDescent="0.25">
      <c r="A14" s="94">
        <v>1</v>
      </c>
      <c r="B14" s="94" t="s">
        <v>263</v>
      </c>
      <c r="C14" s="94">
        <v>1</v>
      </c>
      <c r="D14" s="147">
        <v>110000</v>
      </c>
      <c r="E14" s="102">
        <f>IF(C14=3,0,IF((D14-O14)&gt;введение!C$11,введение!C$11,IF((D14-O14)&lt;=введение!C$11,D14-O14,0)))</f>
        <v>42500</v>
      </c>
      <c r="F14" s="147">
        <f>IF(AB14&gt;0,AB14,0)</f>
        <v>1100</v>
      </c>
      <c r="G14" s="147"/>
      <c r="H14" s="150"/>
      <c r="I14" s="135">
        <f>IF(C14=3,D14-H14,D14-H14-E14-O14-F14-G14)</f>
        <v>55400</v>
      </c>
      <c r="J14" s="149">
        <f>IF(C14=0,0,IF(C14&gt;1,0,IF(D14&lt;=введение!C$20*25,I14/100,I14/10)))</f>
        <v>5540</v>
      </c>
      <c r="K14" s="149">
        <f>IF(C14=0,0,IF(C14=1,0,IF(C14=3,I14/10,IF(C14=2,IF(D14&lt;=введение!C$20*25,I14/100,I14/10)))))</f>
        <v>0</v>
      </c>
      <c r="L14" s="95"/>
      <c r="M14" s="21">
        <f>IF(C14=3,0,IF(N14=1,0,D14-L14))</f>
        <v>110000</v>
      </c>
      <c r="N14" s="95"/>
      <c r="O14" s="21">
        <f>M14*10%</f>
        <v>11000</v>
      </c>
      <c r="P14" s="95"/>
      <c r="Q14" s="21">
        <f>IF(C14=3,0,IF(N14=1,0,D14-O14-P14))</f>
        <v>99000</v>
      </c>
      <c r="R14" s="21">
        <f>IF(OR(Q14&lt;=0,),0,MIN(MAX(введение!$C$11,Q14),введение!$C$14))</f>
        <v>99000</v>
      </c>
      <c r="S14" s="21">
        <f>ROUND(R14*введение!C$15,0)</f>
        <v>3465</v>
      </c>
      <c r="T14" s="95"/>
      <c r="U14" s="21">
        <f>ROUND(T14*0.05,0)</f>
        <v>0</v>
      </c>
      <c r="V14" s="21">
        <f>IF(D14=0,0,1)</f>
        <v>1</v>
      </c>
      <c r="W14" s="95"/>
      <c r="X14" s="131">
        <f>IF(C14=3,0,IF(D14&lt;=введение!C$20*25,0,0))</f>
        <v>0</v>
      </c>
      <c r="Y14" s="135">
        <f>IF(C14=3,0,IF(N14=1,0,D14-W14-X14))</f>
        <v>110000</v>
      </c>
      <c r="Z14" s="135">
        <f>IF(OR(Y14&lt;=0,),0,MIN(MIN(введение!$C$17,Y14),введение!$C$17))</f>
        <v>110000</v>
      </c>
      <c r="AA14" s="135">
        <f>Z14*введение!C$18</f>
        <v>2200</v>
      </c>
      <c r="AB14" s="135">
        <f>Z14*введение!C$22</f>
        <v>1100</v>
      </c>
      <c r="AC14" s="135"/>
    </row>
    <row r="15" spans="1:29" x14ac:dyDescent="0.25">
      <c r="A15" s="94">
        <v>2</v>
      </c>
      <c r="B15" s="94" t="s">
        <v>264</v>
      </c>
      <c r="C15" s="94">
        <v>2</v>
      </c>
      <c r="D15" s="147">
        <v>80000</v>
      </c>
      <c r="E15" s="102">
        <f>IF(C15=3,0,IF((D15-O15)&gt;введение!C$11,введение!C$11,IF((D15-O15)&lt;=введение!C$11,D15-O15,0)))</f>
        <v>42500</v>
      </c>
      <c r="F15" s="147">
        <f t="shared" ref="F15:F25" si="0">IF(AB15&gt;0,AB15,0)</f>
        <v>800</v>
      </c>
      <c r="G15" s="147"/>
      <c r="H15" s="150"/>
      <c r="I15" s="135">
        <f t="shared" ref="I15:I25" si="1">IF(C15=3,D15-H15,D15-H15-E15-O15-F15-G15)</f>
        <v>28700</v>
      </c>
      <c r="J15" s="149">
        <f>IF(C15=0,0,IF(C15&gt;1,0,IF(D15&lt;=введение!C$20*25,I15/100,I15/10)))</f>
        <v>0</v>
      </c>
      <c r="K15" s="149">
        <f>IF(C15=0,0,IF(C15=1,0,IF(C15=3,I15/10,IF(C15=2,IF(D15&lt;=введение!C$20*25,I15/100,I15/10)))))</f>
        <v>2870</v>
      </c>
      <c r="L15" s="95"/>
      <c r="M15" s="21">
        <f t="shared" ref="M15:M25" si="2">IF(C15=3,0,IF(N15=1,0,D15-L15))</f>
        <v>80000</v>
      </c>
      <c r="N15" s="95"/>
      <c r="O15" s="21">
        <f t="shared" ref="O15:O25" si="3">M15*10%</f>
        <v>8000</v>
      </c>
      <c r="P15" s="95"/>
      <c r="Q15" s="21">
        <f t="shared" ref="Q15:Q25" si="4">IF(C15=3,0,IF(N15=1,0,D15-O15-P15))</f>
        <v>72000</v>
      </c>
      <c r="R15" s="21">
        <f>IF(OR(Q15&lt;=0,),0,MIN(MAX(введение!$C$11,Q15),введение!$C$14))</f>
        <v>72000</v>
      </c>
      <c r="S15" s="21">
        <f>ROUND(R15*введение!C$15,0)</f>
        <v>2520</v>
      </c>
      <c r="T15" s="95"/>
      <c r="U15" s="21">
        <f t="shared" ref="U15:U25" si="5">ROUND(T15*0.05,0)</f>
        <v>0</v>
      </c>
      <c r="V15" s="21">
        <f t="shared" ref="V15:V25" si="6">IF(D15=0,0,1)</f>
        <v>1</v>
      </c>
      <c r="W15" s="95"/>
      <c r="X15" s="131">
        <f>IF(C15=3,0,IF(D15&lt;=введение!C$20*25,0,0))</f>
        <v>0</v>
      </c>
      <c r="Y15" s="135">
        <f t="shared" ref="Y15:Y25" si="7">IF(C15=3,0,IF(N15=1,0,D15-W15-X15))</f>
        <v>80000</v>
      </c>
      <c r="Z15" s="135">
        <f>IF(OR(Y15&lt;=0,),0,MIN(MIN(введение!$C$17,Y15),введение!$C$17))</f>
        <v>80000</v>
      </c>
      <c r="AA15" s="135">
        <f>Z15*введение!C$18</f>
        <v>1600</v>
      </c>
      <c r="AB15" s="135">
        <f>Z15*введение!C$22</f>
        <v>800</v>
      </c>
      <c r="AC15" s="135"/>
    </row>
    <row r="16" spans="1:29" x14ac:dyDescent="0.25">
      <c r="A16" s="94">
        <v>3</v>
      </c>
      <c r="B16" s="94" t="s">
        <v>265</v>
      </c>
      <c r="C16" s="94">
        <v>3</v>
      </c>
      <c r="D16" s="147">
        <v>80000</v>
      </c>
      <c r="E16" s="102">
        <f>IF(C16=3,0,IF((D16-O16)&gt;введение!C$11,введение!C$11,IF((D16-O16)&lt;=введение!C$11,D16-O16,0)))</f>
        <v>0</v>
      </c>
      <c r="F16" s="147">
        <f t="shared" si="0"/>
        <v>0</v>
      </c>
      <c r="G16" s="147"/>
      <c r="H16" s="150"/>
      <c r="I16" s="135">
        <f t="shared" si="1"/>
        <v>80000</v>
      </c>
      <c r="J16" s="149">
        <f>IF(C16=0,0,IF(C16&gt;1,0,IF(D16&lt;=введение!C$20*25,I16/100,I16/10)))</f>
        <v>0</v>
      </c>
      <c r="K16" s="149">
        <f>IF(C16=0,0,IF(C16=1,0,IF(C16=3,I16/10,IF(C16=2,IF(D16&lt;=введение!C$20*25,I16/100,I16/10)))))</f>
        <v>8000</v>
      </c>
      <c r="L16" s="95"/>
      <c r="M16" s="21">
        <f t="shared" si="2"/>
        <v>0</v>
      </c>
      <c r="N16" s="95"/>
      <c r="O16" s="21">
        <f t="shared" si="3"/>
        <v>0</v>
      </c>
      <c r="P16" s="95"/>
      <c r="Q16" s="21">
        <f t="shared" si="4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5"/>
        <v>0</v>
      </c>
      <c r="V16" s="21">
        <f t="shared" si="6"/>
        <v>1</v>
      </c>
      <c r="W16" s="95"/>
      <c r="X16" s="131">
        <f>IF(C16=3,0,IF(D16&lt;=введение!C$20*25,0,0))</f>
        <v>0</v>
      </c>
      <c r="Y16" s="135">
        <f t="shared" si="7"/>
        <v>0</v>
      </c>
      <c r="Z16" s="135">
        <f>IF(OR(Y16&lt;=0,),0,MIN(MIN(введение!$C$17,Y16),введение!$C$17))</f>
        <v>0</v>
      </c>
      <c r="AA16" s="135">
        <f>Z16*введение!C$18</f>
        <v>0</v>
      </c>
      <c r="AB16" s="135">
        <f>Z16*введение!C$22</f>
        <v>0</v>
      </c>
      <c r="AC16" s="135"/>
    </row>
    <row r="17" spans="1:29" x14ac:dyDescent="0.25">
      <c r="A17" s="94">
        <v>4</v>
      </c>
      <c r="B17" s="94"/>
      <c r="C17" s="94"/>
      <c r="D17" s="94"/>
      <c r="E17" s="102">
        <f>IF(C17=3,0,IF((D17-O17)&gt;введение!C$11,введение!C$11,IF((D17-O17)&lt;=введение!C$11,D17-O17,0)))</f>
        <v>0</v>
      </c>
      <c r="F17" s="147">
        <f t="shared" si="0"/>
        <v>0</v>
      </c>
      <c r="G17" s="147"/>
      <c r="H17" s="150"/>
      <c r="I17" s="135">
        <f t="shared" si="1"/>
        <v>0</v>
      </c>
      <c r="J17" s="149">
        <f>IF(C17=0,0,IF(C17&gt;1,0,IF(D17&lt;=введение!C$20*25,I17/100,I17/10)))</f>
        <v>0</v>
      </c>
      <c r="K17" s="149">
        <f>IF(C17=0,0,IF(C17=1,0,IF(C17=3,I17/10,IF(C17=2,IF(D17&lt;=введение!C$20*25,I17/100,I17/10)))))</f>
        <v>0</v>
      </c>
      <c r="L17" s="95"/>
      <c r="M17" s="21">
        <f t="shared" si="2"/>
        <v>0</v>
      </c>
      <c r="N17" s="95"/>
      <c r="O17" s="21">
        <f t="shared" si="3"/>
        <v>0</v>
      </c>
      <c r="P17" s="95"/>
      <c r="Q17" s="21">
        <f t="shared" si="4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5"/>
        <v>0</v>
      </c>
      <c r="V17" s="21">
        <f t="shared" si="6"/>
        <v>0</v>
      </c>
      <c r="W17" s="95"/>
      <c r="X17" s="131">
        <f>IF(C17=3,0,IF(D17&lt;=введение!C$20*25,0,0))</f>
        <v>0</v>
      </c>
      <c r="Y17" s="135">
        <f t="shared" si="7"/>
        <v>0</v>
      </c>
      <c r="Z17" s="135">
        <f>IF(OR(Y17&lt;=0,),0,MIN(MIN(введение!$C$17,Y17),введение!$C$17))</f>
        <v>0</v>
      </c>
      <c r="AA17" s="135">
        <f>Z17*введение!C$18</f>
        <v>0</v>
      </c>
      <c r="AB17" s="135">
        <f>Z17*введение!C$22</f>
        <v>0</v>
      </c>
      <c r="AC17" s="135"/>
    </row>
    <row r="18" spans="1:29" x14ac:dyDescent="0.25">
      <c r="A18" s="94">
        <v>5</v>
      </c>
      <c r="B18" s="94"/>
      <c r="C18" s="94"/>
      <c r="D18" s="94"/>
      <c r="E18" s="102">
        <f>IF(C18=3,0,IF((D18-O18)&gt;введение!C$11,введение!C$11,IF((D18-O18)&lt;=введение!C$11,D18-O18,0)))</f>
        <v>0</v>
      </c>
      <c r="F18" s="147">
        <f t="shared" si="0"/>
        <v>0</v>
      </c>
      <c r="G18" s="147"/>
      <c r="H18" s="150"/>
      <c r="I18" s="135">
        <f t="shared" si="1"/>
        <v>0</v>
      </c>
      <c r="J18" s="149">
        <f>IF(C18=0,0,IF(C18&gt;1,0,IF(D18&lt;=введение!C$20*25,I18/100,I18/10)))</f>
        <v>0</v>
      </c>
      <c r="K18" s="149">
        <f>IF(C18=0,0,IF(C18=1,0,IF(C18=3,I18/10,IF(C18=2,IF(D18&lt;=введение!C$20*25,I18/100,I18/10)))))</f>
        <v>0</v>
      </c>
      <c r="L18" s="95"/>
      <c r="M18" s="21">
        <f t="shared" si="2"/>
        <v>0</v>
      </c>
      <c r="N18" s="95"/>
      <c r="O18" s="21">
        <f t="shared" si="3"/>
        <v>0</v>
      </c>
      <c r="P18" s="95"/>
      <c r="Q18" s="21">
        <f t="shared" si="4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5"/>
        <v>0</v>
      </c>
      <c r="V18" s="21">
        <f t="shared" si="6"/>
        <v>0</v>
      </c>
      <c r="W18" s="95"/>
      <c r="X18" s="131">
        <f>IF(C18=3,0,IF(D18&lt;=введение!C$20*25,0,0))</f>
        <v>0</v>
      </c>
      <c r="Y18" s="135">
        <f t="shared" si="7"/>
        <v>0</v>
      </c>
      <c r="Z18" s="135">
        <f>IF(OR(Y18&lt;=0,),0,MIN(MIN(введение!$C$17,Y18),введение!$C$17))</f>
        <v>0</v>
      </c>
      <c r="AA18" s="135">
        <f>Z18*введение!C$18</f>
        <v>0</v>
      </c>
      <c r="AB18" s="135">
        <f>Z18*введение!C$22</f>
        <v>0</v>
      </c>
      <c r="AC18" s="135"/>
    </row>
    <row r="19" spans="1:29" x14ac:dyDescent="0.25">
      <c r="A19" s="94">
        <v>6</v>
      </c>
      <c r="B19" s="94"/>
      <c r="C19" s="94"/>
      <c r="D19" s="94"/>
      <c r="E19" s="102">
        <f>IF(C19=3,0,IF((D19-O19)&gt;введение!C$11,введение!C$11,IF((D19-O19)&lt;=введение!C$11,D19-O19,0)))</f>
        <v>0</v>
      </c>
      <c r="F19" s="147">
        <f t="shared" si="0"/>
        <v>0</v>
      </c>
      <c r="G19" s="147"/>
      <c r="H19" s="150"/>
      <c r="I19" s="135">
        <f t="shared" si="1"/>
        <v>0</v>
      </c>
      <c r="J19" s="149">
        <f>IF(C19=0,0,IF(C19&gt;1,0,IF(D19&lt;=введение!C$20*25,I19/100,I19/10)))</f>
        <v>0</v>
      </c>
      <c r="K19" s="149">
        <f>IF(C19=0,0,IF(C19=1,0,IF(C19=3,I19/10,IF(C19=2,IF(D19&lt;=введение!C$20*25,I19/100,I19/10)))))</f>
        <v>0</v>
      </c>
      <c r="L19" s="95"/>
      <c r="M19" s="21">
        <f t="shared" si="2"/>
        <v>0</v>
      </c>
      <c r="N19" s="95"/>
      <c r="O19" s="21">
        <f t="shared" si="3"/>
        <v>0</v>
      </c>
      <c r="P19" s="95"/>
      <c r="Q19" s="21">
        <f t="shared" si="4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5"/>
        <v>0</v>
      </c>
      <c r="V19" s="21">
        <f t="shared" si="6"/>
        <v>0</v>
      </c>
      <c r="W19" s="95"/>
      <c r="X19" s="131">
        <f>IF(C19=3,0,IF(D19&lt;=введение!C$20*25,0,0))</f>
        <v>0</v>
      </c>
      <c r="Y19" s="135">
        <f t="shared" si="7"/>
        <v>0</v>
      </c>
      <c r="Z19" s="135">
        <f>IF(OR(Y19&lt;=0,),0,MIN(MIN(введение!$C$17,Y19),введение!$C$17))</f>
        <v>0</v>
      </c>
      <c r="AA19" s="135">
        <f>Z19*введение!C$18</f>
        <v>0</v>
      </c>
      <c r="AB19" s="135">
        <f>Z19*введение!C$22</f>
        <v>0</v>
      </c>
      <c r="AC19" s="135"/>
    </row>
    <row r="20" spans="1:29" x14ac:dyDescent="0.25">
      <c r="A20" s="94">
        <v>7</v>
      </c>
      <c r="B20" s="94"/>
      <c r="C20" s="94"/>
      <c r="D20" s="94"/>
      <c r="E20" s="102">
        <f>IF(C20=3,0,IF((D20-O20)&gt;введение!C$11,введение!C$11,IF((D20-O20)&lt;=введение!C$11,D20-O20,0)))</f>
        <v>0</v>
      </c>
      <c r="F20" s="147">
        <f t="shared" si="0"/>
        <v>0</v>
      </c>
      <c r="G20" s="147"/>
      <c r="H20" s="150"/>
      <c r="I20" s="135">
        <f t="shared" si="1"/>
        <v>0</v>
      </c>
      <c r="J20" s="149">
        <f>IF(C20=0,0,IF(C20&gt;1,0,IF(D20&lt;=введение!C$20*25,I20/100,I20/10)))</f>
        <v>0</v>
      </c>
      <c r="K20" s="149">
        <f>IF(C20=0,0,IF(C20=1,0,IF(C20=3,I20/10,IF(C20=2,IF(D20&lt;=введение!C$20*25,I20/100,I20/10)))))</f>
        <v>0</v>
      </c>
      <c r="L20" s="95"/>
      <c r="M20" s="21">
        <f t="shared" si="2"/>
        <v>0</v>
      </c>
      <c r="N20" s="95"/>
      <c r="O20" s="21">
        <f t="shared" si="3"/>
        <v>0</v>
      </c>
      <c r="P20" s="95"/>
      <c r="Q20" s="21">
        <f t="shared" si="4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5"/>
        <v>0</v>
      </c>
      <c r="V20" s="21">
        <f t="shared" si="6"/>
        <v>0</v>
      </c>
      <c r="W20" s="95"/>
      <c r="X20" s="131">
        <f>IF(C20=3,0,IF(D20&lt;=введение!C$20*25,0,0))</f>
        <v>0</v>
      </c>
      <c r="Y20" s="135">
        <f t="shared" si="7"/>
        <v>0</v>
      </c>
      <c r="Z20" s="135">
        <f>IF(OR(Y20&lt;=0,),0,MIN(MIN(введение!$C$17,Y20),введение!$C$17))</f>
        <v>0</v>
      </c>
      <c r="AA20" s="135">
        <f>Z20*введение!C$18</f>
        <v>0</v>
      </c>
      <c r="AB20" s="135">
        <f>Z20*введение!C$22</f>
        <v>0</v>
      </c>
      <c r="AC20" s="135"/>
    </row>
    <row r="21" spans="1:29" x14ac:dyDescent="0.25">
      <c r="A21" s="94">
        <v>8</v>
      </c>
      <c r="B21" s="94"/>
      <c r="C21" s="94"/>
      <c r="D21" s="94"/>
      <c r="E21" s="102">
        <f>IF(C21=3,0,IF((D21-O21)&gt;введение!C$11,введение!C$11,IF((D21-O21)&lt;=введение!C$11,D21-O21,0)))</f>
        <v>0</v>
      </c>
      <c r="F21" s="147">
        <f t="shared" si="0"/>
        <v>0</v>
      </c>
      <c r="G21" s="147"/>
      <c r="H21" s="150"/>
      <c r="I21" s="135">
        <f t="shared" si="1"/>
        <v>0</v>
      </c>
      <c r="J21" s="149">
        <f>IF(C21=0,0,IF(C21&gt;1,0,IF(D21&lt;=введение!C$20*25,I21/100,I21/10)))</f>
        <v>0</v>
      </c>
      <c r="K21" s="149">
        <f>IF(C21=0,0,IF(C21=1,0,IF(C21=3,I21/10,IF(C21=2,IF(D21&lt;=введение!C$20*25,I21/100,I21/10)))))</f>
        <v>0</v>
      </c>
      <c r="L21" s="95"/>
      <c r="M21" s="21">
        <f t="shared" si="2"/>
        <v>0</v>
      </c>
      <c r="N21" s="95"/>
      <c r="O21" s="21">
        <f t="shared" si="3"/>
        <v>0</v>
      </c>
      <c r="P21" s="95"/>
      <c r="Q21" s="21">
        <f t="shared" si="4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5"/>
        <v>0</v>
      </c>
      <c r="V21" s="21">
        <f t="shared" si="6"/>
        <v>0</v>
      </c>
      <c r="W21" s="95"/>
      <c r="X21" s="131">
        <f>IF(C21=3,0,IF(D21&lt;=введение!C$20*25,0,0))</f>
        <v>0</v>
      </c>
      <c r="Y21" s="135">
        <f t="shared" si="7"/>
        <v>0</v>
      </c>
      <c r="Z21" s="135">
        <f>IF(OR(Y21&lt;=0,),0,MIN(MIN(введение!$C$17,Y21),введение!$C$17))</f>
        <v>0</v>
      </c>
      <c r="AA21" s="135">
        <f>Z21*введение!C$18</f>
        <v>0</v>
      </c>
      <c r="AB21" s="135">
        <f>Z21*введение!C$22</f>
        <v>0</v>
      </c>
      <c r="AC21" s="135"/>
    </row>
    <row r="22" spans="1:29" x14ac:dyDescent="0.25">
      <c r="A22" s="94">
        <v>9</v>
      </c>
      <c r="B22" s="94"/>
      <c r="C22" s="94"/>
      <c r="D22" s="94"/>
      <c r="E22" s="102">
        <f>IF(C22=3,0,IF((D22-O22)&gt;введение!C$11,введение!C$11,IF((D22-O22)&lt;=введение!C$11,D22-O22,0)))</f>
        <v>0</v>
      </c>
      <c r="F22" s="147">
        <f t="shared" si="0"/>
        <v>0</v>
      </c>
      <c r="G22" s="147"/>
      <c r="H22" s="150"/>
      <c r="I22" s="135">
        <f t="shared" si="1"/>
        <v>0</v>
      </c>
      <c r="J22" s="149">
        <f>IF(C22=0,0,IF(C22&gt;1,0,IF(D22&lt;=введение!C$20*25,I22/100,I22/10)))</f>
        <v>0</v>
      </c>
      <c r="K22" s="149">
        <f>IF(C22=0,0,IF(C22=1,0,IF(C22=3,I22/10,IF(C22=2,IF(D22&lt;=введение!C$20*25,I22/100,I22/10)))))</f>
        <v>0</v>
      </c>
      <c r="L22" s="95"/>
      <c r="M22" s="21">
        <f t="shared" si="2"/>
        <v>0</v>
      </c>
      <c r="N22" s="95"/>
      <c r="O22" s="21">
        <f t="shared" si="3"/>
        <v>0</v>
      </c>
      <c r="P22" s="95"/>
      <c r="Q22" s="21">
        <f t="shared" si="4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5"/>
        <v>0</v>
      </c>
      <c r="V22" s="21">
        <f t="shared" si="6"/>
        <v>0</v>
      </c>
      <c r="W22" s="95"/>
      <c r="X22" s="131">
        <f>IF(C22=3,0,IF(D22&lt;=введение!C$20*25,0,0))</f>
        <v>0</v>
      </c>
      <c r="Y22" s="135">
        <f t="shared" si="7"/>
        <v>0</v>
      </c>
      <c r="Z22" s="135">
        <f>IF(OR(Y22&lt;=0,),0,MIN(MIN(введение!$C$17,Y22),введение!$C$17))</f>
        <v>0</v>
      </c>
      <c r="AA22" s="135">
        <f>Z22*введение!C$18</f>
        <v>0</v>
      </c>
      <c r="AB22" s="135">
        <f>Z22*введение!C$22</f>
        <v>0</v>
      </c>
      <c r="AC22" s="135"/>
    </row>
    <row r="23" spans="1:29" x14ac:dyDescent="0.25">
      <c r="A23" s="94">
        <v>10</v>
      </c>
      <c r="B23" s="94"/>
      <c r="C23" s="94"/>
      <c r="D23" s="94"/>
      <c r="E23" s="102">
        <f>IF(C23=3,0,IF((D23-O23)&gt;введение!C$11,введение!C$11,IF((D23-O23)&lt;=введение!C$11,D23-O23,0)))</f>
        <v>0</v>
      </c>
      <c r="F23" s="147">
        <f t="shared" si="0"/>
        <v>0</v>
      </c>
      <c r="G23" s="147"/>
      <c r="H23" s="150"/>
      <c r="I23" s="135">
        <f t="shared" si="1"/>
        <v>0</v>
      </c>
      <c r="J23" s="149">
        <f>IF(C23=0,0,IF(C23&gt;1,0,IF(D23&lt;=введение!C$20*25,I23/100,I23/10)))</f>
        <v>0</v>
      </c>
      <c r="K23" s="149">
        <f>IF(C23=0,0,IF(C23=1,0,IF(C23=3,I23/10,IF(C23=2,IF(D23&lt;=введение!C$20*25,I23/100,I23/10)))))</f>
        <v>0</v>
      </c>
      <c r="L23" s="95"/>
      <c r="M23" s="21">
        <f t="shared" si="2"/>
        <v>0</v>
      </c>
      <c r="N23" s="95"/>
      <c r="O23" s="21">
        <f t="shared" si="3"/>
        <v>0</v>
      </c>
      <c r="P23" s="95"/>
      <c r="Q23" s="21">
        <f t="shared" si="4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5"/>
        <v>0</v>
      </c>
      <c r="V23" s="21">
        <f t="shared" si="6"/>
        <v>0</v>
      </c>
      <c r="W23" s="95"/>
      <c r="X23" s="131">
        <f>IF(C23=3,0,IF(D23&lt;=введение!C$20*25,0,0))</f>
        <v>0</v>
      </c>
      <c r="Y23" s="135">
        <f t="shared" si="7"/>
        <v>0</v>
      </c>
      <c r="Z23" s="135">
        <f>IF(OR(Y23&lt;=0,),0,MIN(MIN(введение!$C$17,Y23),введение!$C$17))</f>
        <v>0</v>
      </c>
      <c r="AA23" s="135">
        <f>Z23*введение!C$18</f>
        <v>0</v>
      </c>
      <c r="AB23" s="135">
        <f>Z23*введение!C$22</f>
        <v>0</v>
      </c>
      <c r="AC23" s="135"/>
    </row>
    <row r="24" spans="1:29" x14ac:dyDescent="0.25">
      <c r="A24" s="94">
        <v>11</v>
      </c>
      <c r="B24" s="94"/>
      <c r="C24" s="94"/>
      <c r="D24" s="94"/>
      <c r="E24" s="102">
        <f>IF(C24=3,0,IF((D24-O24)&gt;введение!C$11,введение!C$11,IF((D24-O24)&lt;=введение!C$11,D24-O24,0)))</f>
        <v>0</v>
      </c>
      <c r="F24" s="147">
        <f t="shared" si="0"/>
        <v>0</v>
      </c>
      <c r="G24" s="147"/>
      <c r="H24" s="150"/>
      <c r="I24" s="135">
        <f t="shared" si="1"/>
        <v>0</v>
      </c>
      <c r="J24" s="149">
        <f>IF(C24=0,0,IF(C24&gt;1,0,IF(D24&lt;=введение!C$20*25,I24/100,I24/10)))</f>
        <v>0</v>
      </c>
      <c r="K24" s="149">
        <f>IF(C24=0,0,IF(C24=1,0,IF(C24=3,I24/10,IF(C24=2,IF(D24&lt;=введение!C$20*25,I24/100,I24/10)))))</f>
        <v>0</v>
      </c>
      <c r="L24" s="95"/>
      <c r="M24" s="21">
        <f t="shared" si="2"/>
        <v>0</v>
      </c>
      <c r="N24" s="95"/>
      <c r="O24" s="21">
        <f t="shared" si="3"/>
        <v>0</v>
      </c>
      <c r="P24" s="95"/>
      <c r="Q24" s="21">
        <f t="shared" si="4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5"/>
        <v>0</v>
      </c>
      <c r="V24" s="21">
        <f t="shared" si="6"/>
        <v>0</v>
      </c>
      <c r="W24" s="95"/>
      <c r="X24" s="131">
        <f>IF(C24=3,0,IF(D24&lt;=введение!C$20*25,0,0))</f>
        <v>0</v>
      </c>
      <c r="Y24" s="135">
        <f t="shared" si="7"/>
        <v>0</v>
      </c>
      <c r="Z24" s="135">
        <f>IF(OR(Y24&lt;=0,),0,MIN(MIN(введение!$C$17,Y24),введение!$C$17))</f>
        <v>0</v>
      </c>
      <c r="AA24" s="135">
        <f>Z24*введение!C$18</f>
        <v>0</v>
      </c>
      <c r="AB24" s="135">
        <f>Z24*введение!C$22</f>
        <v>0</v>
      </c>
      <c r="AC24" s="135"/>
    </row>
    <row r="25" spans="1:29" x14ac:dyDescent="0.25">
      <c r="A25" s="94">
        <v>12</v>
      </c>
      <c r="B25" s="94"/>
      <c r="C25" s="94"/>
      <c r="D25" s="94"/>
      <c r="E25" s="102">
        <f>IF(C25=3,0,IF((D25-O25)&gt;введение!C$11,введение!C$11,IF((D25-O25)&lt;=введение!C$11,D25-O25,0)))</f>
        <v>0</v>
      </c>
      <c r="F25" s="147">
        <f t="shared" si="0"/>
        <v>0</v>
      </c>
      <c r="G25" s="147"/>
      <c r="H25" s="150"/>
      <c r="I25" s="135">
        <f t="shared" si="1"/>
        <v>0</v>
      </c>
      <c r="J25" s="149">
        <f>IF(C25=0,0,IF(C25&gt;1,0,IF(D25&lt;=введение!C$20*25,I25/100,I25/10)))</f>
        <v>0</v>
      </c>
      <c r="K25" s="149">
        <f>IF(C25=0,0,IF(C25=1,0,IF(C25=3,I25/10,IF(C25=2,IF(D25&lt;=введение!C$20*25,I25/100,I25/10)))))</f>
        <v>0</v>
      </c>
      <c r="L25" s="95"/>
      <c r="M25" s="21">
        <f t="shared" si="2"/>
        <v>0</v>
      </c>
      <c r="N25" s="95"/>
      <c r="O25" s="21">
        <f t="shared" si="3"/>
        <v>0</v>
      </c>
      <c r="P25" s="95"/>
      <c r="Q25" s="21">
        <f t="shared" si="4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5"/>
        <v>0</v>
      </c>
      <c r="V25" s="21">
        <f t="shared" si="6"/>
        <v>0</v>
      </c>
      <c r="W25" s="95"/>
      <c r="X25" s="131">
        <f>IF(C25=3,0,IF(D25&lt;=введение!C$20*25,0,0))</f>
        <v>0</v>
      </c>
      <c r="Y25" s="135">
        <f t="shared" si="7"/>
        <v>0</v>
      </c>
      <c r="Z25" s="135">
        <f>IF(OR(Y25&lt;=0,),0,MIN(MIN(введение!$C$17,Y25),введение!$C$17))</f>
        <v>0</v>
      </c>
      <c r="AA25" s="135">
        <f>Z25*введение!C$18</f>
        <v>0</v>
      </c>
      <c r="AB25" s="135">
        <f>Z25*введение!C$22</f>
        <v>0</v>
      </c>
      <c r="AC25" s="135"/>
    </row>
    <row r="26" spans="1:29" x14ac:dyDescent="0.25">
      <c r="A26" s="325" t="s">
        <v>73</v>
      </c>
      <c r="B26" s="326"/>
      <c r="C26" s="90"/>
      <c r="D26" s="22">
        <f>SUM(D14:D25)</f>
        <v>270000</v>
      </c>
      <c r="E26" s="22">
        <f t="shared" ref="E26:U26" si="8">SUM(E14:E25)</f>
        <v>85000</v>
      </c>
      <c r="F26" s="136">
        <f t="shared" si="8"/>
        <v>1900</v>
      </c>
      <c r="G26" s="136">
        <f t="shared" si="8"/>
        <v>0</v>
      </c>
      <c r="H26" s="136">
        <f t="shared" si="8"/>
        <v>0</v>
      </c>
      <c r="I26" s="136">
        <f t="shared" si="8"/>
        <v>164100</v>
      </c>
      <c r="J26" s="136">
        <f t="shared" si="8"/>
        <v>5540</v>
      </c>
      <c r="K26" s="136">
        <f t="shared" si="8"/>
        <v>10870</v>
      </c>
      <c r="L26" s="22">
        <f t="shared" si="8"/>
        <v>0</v>
      </c>
      <c r="M26" s="22">
        <f t="shared" si="8"/>
        <v>190000</v>
      </c>
      <c r="N26" s="22">
        <f>SUM(N14:N25)</f>
        <v>0</v>
      </c>
      <c r="O26" s="22">
        <f>SUM(O14:O25)</f>
        <v>19000</v>
      </c>
      <c r="P26" s="22">
        <f t="shared" si="8"/>
        <v>0</v>
      </c>
      <c r="Q26" s="22">
        <f t="shared" si="8"/>
        <v>171000</v>
      </c>
      <c r="R26" s="22">
        <f t="shared" si="8"/>
        <v>171000</v>
      </c>
      <c r="S26" s="22">
        <f>SUM(S14:S25)</f>
        <v>5985</v>
      </c>
      <c r="T26" s="22">
        <f t="shared" si="8"/>
        <v>0</v>
      </c>
      <c r="U26" s="22">
        <f t="shared" si="8"/>
        <v>0</v>
      </c>
      <c r="V26" s="22">
        <f t="shared" ref="V26:AB26" si="9">SUM(V14:V25)</f>
        <v>3</v>
      </c>
      <c r="W26" s="22">
        <f t="shared" si="9"/>
        <v>0</v>
      </c>
      <c r="X26" s="136">
        <f t="shared" si="9"/>
        <v>0</v>
      </c>
      <c r="Y26" s="136">
        <f t="shared" si="9"/>
        <v>190000</v>
      </c>
      <c r="Z26" s="136">
        <f t="shared" si="9"/>
        <v>190000</v>
      </c>
      <c r="AA26" s="136">
        <f t="shared" si="9"/>
        <v>3800</v>
      </c>
      <c r="AB26" s="136">
        <f t="shared" si="9"/>
        <v>1900</v>
      </c>
      <c r="AC26" s="137">
        <f>IF(D26&gt;0,D26/V26,0)</f>
        <v>90000</v>
      </c>
    </row>
    <row r="27" spans="1:29" x14ac:dyDescent="0.25">
      <c r="A27" s="43"/>
      <c r="B27" s="43"/>
      <c r="C27" s="44"/>
      <c r="D27" s="44"/>
    </row>
    <row r="28" spans="1:29" x14ac:dyDescent="0.25">
      <c r="A28" s="45" t="s">
        <v>62</v>
      </c>
      <c r="B28" s="37"/>
      <c r="C28"/>
      <c r="D28"/>
    </row>
    <row r="29" spans="1:29" x14ac:dyDescent="0.25">
      <c r="A29" s="37"/>
      <c r="B29" s="37"/>
      <c r="C29"/>
      <c r="D29"/>
    </row>
    <row r="30" spans="1:29" x14ac:dyDescent="0.25">
      <c r="A30" s="43"/>
      <c r="B30" s="43"/>
      <c r="C30" s="44"/>
      <c r="D30" s="44"/>
    </row>
    <row r="31" spans="1:29" x14ac:dyDescent="0.25">
      <c r="A31" s="45" t="s">
        <v>63</v>
      </c>
      <c r="B31" s="37"/>
      <c r="C31"/>
      <c r="D31"/>
    </row>
    <row r="32" spans="1:29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AC38"/>
  <sheetViews>
    <sheetView topLeftCell="A13" workbookViewId="0">
      <selection activeCell="G29" sqref="G2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8" width="8.7109375" style="17"/>
    <col min="9" max="9" width="11" style="17" customWidth="1"/>
    <col min="10" max="10" width="9.5703125" style="17" customWidth="1"/>
    <col min="11" max="11" width="10" style="17" customWidth="1"/>
    <col min="12" max="12" width="12.5703125" style="17" customWidth="1"/>
    <col min="13" max="13" width="8.7109375" style="17"/>
    <col min="14" max="14" width="10.42578125" style="17" customWidth="1"/>
    <col min="15" max="15" width="13.7109375" style="17" customWidth="1"/>
    <col min="16" max="16" width="15.42578125" style="17" customWidth="1"/>
    <col min="17" max="17" width="16" style="17" customWidth="1"/>
    <col min="18" max="18" width="19.7109375" style="17" customWidth="1"/>
    <col min="19" max="19" width="13" style="17" customWidth="1"/>
    <col min="20" max="23" width="8.7109375" style="17"/>
    <col min="24" max="24" width="15" style="5" bestFit="1" customWidth="1"/>
    <col min="25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K2" s="19"/>
      <c r="S2" s="18" t="s">
        <v>14</v>
      </c>
    </row>
    <row r="3" spans="1:29" x14ac:dyDescent="0.25">
      <c r="A3" s="20"/>
      <c r="B3" s="20"/>
      <c r="C3" s="20"/>
      <c r="D3" s="20"/>
    </row>
    <row r="4" spans="1:29" x14ac:dyDescent="0.25">
      <c r="A4" s="20"/>
      <c r="B4" s="20"/>
      <c r="C4" s="20"/>
      <c r="D4" s="20"/>
    </row>
    <row r="5" spans="1:29" x14ac:dyDescent="0.25">
      <c r="A5" s="58" t="s">
        <v>67</v>
      </c>
      <c r="B5" s="44"/>
      <c r="C5" s="58"/>
      <c r="D5" s="58"/>
    </row>
    <row r="6" spans="1:29" x14ac:dyDescent="0.25">
      <c r="A6" s="36"/>
      <c r="B6" s="36"/>
      <c r="C6" s="36"/>
      <c r="D6" s="36"/>
    </row>
    <row r="7" spans="1:29" x14ac:dyDescent="0.25">
      <c r="A7" s="36">
        <v>1</v>
      </c>
      <c r="B7" s="58" t="s">
        <v>68</v>
      </c>
      <c r="C7" s="58"/>
      <c r="D7" s="58"/>
    </row>
    <row r="8" spans="1:29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9" x14ac:dyDescent="0.25">
      <c r="A9" s="36">
        <v>3</v>
      </c>
      <c r="B9" s="58" t="s">
        <v>93</v>
      </c>
      <c r="C9" s="58"/>
      <c r="D9" s="58" t="str">
        <f>IF('№ 910 Декларация '!L12=1,"апрель","октябрь")</f>
        <v>октябрь</v>
      </c>
      <c r="E9" s="17">
        <f>'№ 910 Декларация '!O12</f>
        <v>2020</v>
      </c>
    </row>
    <row r="10" spans="1:29" x14ac:dyDescent="0.25">
      <c r="A10" s="50"/>
      <c r="B10" s="50"/>
      <c r="C10" s="50"/>
      <c r="D10" s="50"/>
      <c r="E10" s="50"/>
      <c r="F10" s="50"/>
      <c r="G10" s="50"/>
    </row>
    <row r="11" spans="1:29" ht="43.5" customHeight="1" x14ac:dyDescent="0.25">
      <c r="A11" s="324" t="s">
        <v>173</v>
      </c>
      <c r="B11" s="324"/>
      <c r="C11" s="324"/>
      <c r="D11" s="324"/>
      <c r="E11" s="324"/>
      <c r="F11" s="324"/>
      <c r="G11" s="324"/>
      <c r="H11" s="324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132</v>
      </c>
      <c r="D13" s="60" t="s">
        <v>71</v>
      </c>
      <c r="E13" s="60" t="s">
        <v>72</v>
      </c>
      <c r="F13" s="39" t="s">
        <v>210</v>
      </c>
      <c r="G13" s="39" t="s">
        <v>209</v>
      </c>
      <c r="H13" s="60" t="s">
        <v>76</v>
      </c>
      <c r="I13" s="60" t="s">
        <v>77</v>
      </c>
      <c r="J13" s="39" t="s">
        <v>133</v>
      </c>
      <c r="K13" s="39" t="s">
        <v>134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188</v>
      </c>
      <c r="Y13" s="39" t="s">
        <v>187</v>
      </c>
      <c r="Z13" s="39" t="s">
        <v>122</v>
      </c>
      <c r="AA13" s="39" t="s">
        <v>124</v>
      </c>
      <c r="AB13" s="39" t="s">
        <v>206</v>
      </c>
      <c r="AC13" s="39" t="s">
        <v>129</v>
      </c>
    </row>
    <row r="14" spans="1:29" x14ac:dyDescent="0.25">
      <c r="A14" s="94">
        <v>1</v>
      </c>
      <c r="B14" s="94" t="s">
        <v>263</v>
      </c>
      <c r="C14" s="94">
        <v>1</v>
      </c>
      <c r="D14" s="147">
        <v>110000</v>
      </c>
      <c r="E14" s="102">
        <f>IF(C14=3,0,IF((D14-O14)&gt;введение!C$11,введение!C$11,IF((D14-O14)&lt;=введение!C$11,D14-O14,0)))</f>
        <v>42500</v>
      </c>
      <c r="F14" s="147">
        <f>IF(AB14&gt;0,AB14,0)</f>
        <v>1100</v>
      </c>
      <c r="G14" s="147"/>
      <c r="H14" s="150"/>
      <c r="I14" s="135">
        <f>IF(C14=3,D14-H14,D14-H14-E14-O14-F14-G14)</f>
        <v>55400</v>
      </c>
      <c r="J14" s="149">
        <f>IF(C14=0,0,IF(C14&gt;1,0,IF(D14&lt;=введение!C$20*25,I14/100,I14/10)))</f>
        <v>5540</v>
      </c>
      <c r="K14" s="149">
        <f>IF(C14=0,0,IF(C14=1,0,IF(C14=3,I14/10,IF(C14=2,IF(D14&lt;=введение!C$20*25,I14/100,I14/10)))))</f>
        <v>0</v>
      </c>
      <c r="L14" s="95"/>
      <c r="M14" s="21">
        <f>IF(C14=3,0,IF(N14=1,0,D14-L14))</f>
        <v>110000</v>
      </c>
      <c r="N14" s="95"/>
      <c r="O14" s="21">
        <f>M14*10%</f>
        <v>11000</v>
      </c>
      <c r="P14" s="95"/>
      <c r="Q14" s="21">
        <f>IF(C14=3,0,IF(N14=1,0,D14-O14-P14))</f>
        <v>99000</v>
      </c>
      <c r="R14" s="21">
        <f>IF(OR(Q14&lt;=0,),0,MIN(MAX(введение!$C$11,Q14),введение!$C$14))</f>
        <v>99000</v>
      </c>
      <c r="S14" s="21">
        <f>ROUND(R14*введение!C$15,0)</f>
        <v>3465</v>
      </c>
      <c r="T14" s="95"/>
      <c r="U14" s="21">
        <f>ROUND(T14*0.05,0)</f>
        <v>0</v>
      </c>
      <c r="V14" s="21">
        <f>IF(D14=0,0,1)</f>
        <v>1</v>
      </c>
      <c r="W14" s="95"/>
      <c r="X14" s="131">
        <f>IF(C14=3,0,IF(D14&lt;=введение!C$20*25,0,0))</f>
        <v>0</v>
      </c>
      <c r="Y14" s="135">
        <f>IF(C14=3,0,IF(N14=1,0,D14-W14-X14))</f>
        <v>110000</v>
      </c>
      <c r="Z14" s="135">
        <f>IF(OR(Y14&lt;=0,),0,MIN(MIN(введение!$C$17,Y14),введение!$C$17))</f>
        <v>110000</v>
      </c>
      <c r="AA14" s="135">
        <f>Z14*введение!C$18</f>
        <v>2200</v>
      </c>
      <c r="AB14" s="135">
        <f>Z14*введение!C$22</f>
        <v>1100</v>
      </c>
      <c r="AC14" s="135"/>
    </row>
    <row r="15" spans="1:29" x14ac:dyDescent="0.25">
      <c r="A15" s="94">
        <v>2</v>
      </c>
      <c r="B15" s="94" t="s">
        <v>264</v>
      </c>
      <c r="C15" s="94">
        <v>2</v>
      </c>
      <c r="D15" s="147">
        <v>80000</v>
      </c>
      <c r="E15" s="102">
        <f>IF(C15=3,0,IF((D15-O15)&gt;введение!C$11,введение!C$11,IF((D15-O15)&lt;=введение!C$11,D15-O15,0)))</f>
        <v>42500</v>
      </c>
      <c r="F15" s="147">
        <f t="shared" ref="F15:F25" si="0">IF(AB15&gt;0,AB15,0)</f>
        <v>800</v>
      </c>
      <c r="G15" s="147"/>
      <c r="H15" s="150"/>
      <c r="I15" s="135">
        <f t="shared" ref="I15:I25" si="1">IF(C15=3,D15-H15,D15-H15-E15-O15-F15-G15)</f>
        <v>28700</v>
      </c>
      <c r="J15" s="149">
        <f>IF(C15=0,0,IF(C15&gt;1,0,IF(D15&lt;=введение!C$20*25,I15/100,I15/10)))</f>
        <v>0</v>
      </c>
      <c r="K15" s="149">
        <f>IF(C15=0,0,IF(C15=1,0,IF(C15=3,I15/10,IF(C15=2,IF(D15&lt;=введение!C$20*25,I15/100,I15/10)))))</f>
        <v>2870</v>
      </c>
      <c r="L15" s="95"/>
      <c r="M15" s="21">
        <f t="shared" ref="M15:M25" si="2">IF(C15=3,0,IF(N15=1,0,D15-L15))</f>
        <v>80000</v>
      </c>
      <c r="N15" s="95"/>
      <c r="O15" s="21">
        <f t="shared" ref="O15:O25" si="3">M15*10%</f>
        <v>8000</v>
      </c>
      <c r="P15" s="95"/>
      <c r="Q15" s="21">
        <f t="shared" ref="Q15:Q25" si="4">IF(C15=3,0,IF(N15=1,0,D15-O15-P15))</f>
        <v>72000</v>
      </c>
      <c r="R15" s="21">
        <f>IF(OR(Q15&lt;=0,),0,MIN(MAX(введение!$C$11,Q15),введение!$C$14))</f>
        <v>72000</v>
      </c>
      <c r="S15" s="21">
        <f>ROUND(R15*введение!C$15,0)</f>
        <v>2520</v>
      </c>
      <c r="T15" s="95"/>
      <c r="U15" s="21">
        <f t="shared" ref="U15:U25" si="5">ROUND(T15*0.05,0)</f>
        <v>0</v>
      </c>
      <c r="V15" s="21">
        <f t="shared" ref="V15:V25" si="6">IF(D15=0,0,1)</f>
        <v>1</v>
      </c>
      <c r="W15" s="95"/>
      <c r="X15" s="131">
        <f>IF(C15=3,0,IF(D15&lt;=введение!C$20*25,0,0))</f>
        <v>0</v>
      </c>
      <c r="Y15" s="135">
        <f t="shared" ref="Y15:Y25" si="7">IF(C15=3,0,IF(N15=1,0,D15-W15-X15))</f>
        <v>80000</v>
      </c>
      <c r="Z15" s="135">
        <f>IF(OR(Y15&lt;=0,),0,MIN(MIN(введение!$C$17,Y15),введение!$C$17))</f>
        <v>80000</v>
      </c>
      <c r="AA15" s="135">
        <f>Z15*введение!C$18</f>
        <v>1600</v>
      </c>
      <c r="AB15" s="135">
        <f>Z15*введение!C$22</f>
        <v>800</v>
      </c>
      <c r="AC15" s="135"/>
    </row>
    <row r="16" spans="1:29" x14ac:dyDescent="0.25">
      <c r="A16" s="94">
        <v>3</v>
      </c>
      <c r="B16" s="94" t="s">
        <v>265</v>
      </c>
      <c r="C16" s="94">
        <v>3</v>
      </c>
      <c r="D16" s="147">
        <v>80000</v>
      </c>
      <c r="E16" s="102">
        <f>IF(C16=3,0,IF((D16-O16)&gt;введение!C$11,введение!C$11,IF((D16-O16)&lt;=введение!C$11,D16-O16,0)))</f>
        <v>0</v>
      </c>
      <c r="F16" s="147">
        <f t="shared" si="0"/>
        <v>0</v>
      </c>
      <c r="G16" s="147"/>
      <c r="H16" s="150"/>
      <c r="I16" s="135">
        <f t="shared" si="1"/>
        <v>80000</v>
      </c>
      <c r="J16" s="149">
        <f>IF(C16=0,0,IF(C16&gt;1,0,IF(D16&lt;=введение!C$20*25,I16/100,I16/10)))</f>
        <v>0</v>
      </c>
      <c r="K16" s="149">
        <f>IF(C16=0,0,IF(C16=1,0,IF(C16=3,I16/10,IF(C16=2,IF(D16&lt;=введение!C$20*25,I16/100,I16/10)))))</f>
        <v>8000</v>
      </c>
      <c r="L16" s="95"/>
      <c r="M16" s="21">
        <f t="shared" si="2"/>
        <v>0</v>
      </c>
      <c r="N16" s="95"/>
      <c r="O16" s="21">
        <f t="shared" si="3"/>
        <v>0</v>
      </c>
      <c r="P16" s="95"/>
      <c r="Q16" s="21">
        <f t="shared" si="4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5"/>
        <v>0</v>
      </c>
      <c r="V16" s="21">
        <f t="shared" si="6"/>
        <v>1</v>
      </c>
      <c r="W16" s="95"/>
      <c r="X16" s="131">
        <f>IF(C16=3,0,IF(D16&lt;=введение!C$20*25,0,0))</f>
        <v>0</v>
      </c>
      <c r="Y16" s="135">
        <f t="shared" si="7"/>
        <v>0</v>
      </c>
      <c r="Z16" s="135">
        <f>IF(OR(Y16&lt;=0,),0,MIN(MIN(введение!$C$17,Y16),введение!$C$17))</f>
        <v>0</v>
      </c>
      <c r="AA16" s="135">
        <f>Z16*введение!C$18</f>
        <v>0</v>
      </c>
      <c r="AB16" s="135">
        <f>Z16*введение!C$22</f>
        <v>0</v>
      </c>
      <c r="AC16" s="135"/>
    </row>
    <row r="17" spans="1:29" x14ac:dyDescent="0.25">
      <c r="A17" s="94">
        <v>4</v>
      </c>
      <c r="B17" s="94"/>
      <c r="C17" s="94"/>
      <c r="D17" s="94"/>
      <c r="E17" s="102">
        <f>IF(C17=3,0,IF((D17-O17)&gt;введение!C$11,введение!C$11,IF((D17-O17)&lt;=введение!C$11,D17-O17,0)))</f>
        <v>0</v>
      </c>
      <c r="F17" s="147">
        <f t="shared" si="0"/>
        <v>0</v>
      </c>
      <c r="G17" s="147"/>
      <c r="H17" s="150"/>
      <c r="I17" s="135">
        <f t="shared" si="1"/>
        <v>0</v>
      </c>
      <c r="J17" s="149">
        <f>IF(C17=0,0,IF(C17&gt;1,0,IF(D17&lt;=введение!C$20*25,I17/100,I17/10)))</f>
        <v>0</v>
      </c>
      <c r="K17" s="149">
        <f>IF(C17=0,0,IF(C17=1,0,IF(C17=3,I17/10,IF(C17=2,IF(D17&lt;=введение!C$20*25,I17/100,I17/10)))))</f>
        <v>0</v>
      </c>
      <c r="L17" s="95"/>
      <c r="M17" s="21">
        <f t="shared" si="2"/>
        <v>0</v>
      </c>
      <c r="N17" s="95"/>
      <c r="O17" s="21">
        <f t="shared" si="3"/>
        <v>0</v>
      </c>
      <c r="P17" s="95"/>
      <c r="Q17" s="21">
        <f t="shared" si="4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5"/>
        <v>0</v>
      </c>
      <c r="V17" s="21">
        <f t="shared" si="6"/>
        <v>0</v>
      </c>
      <c r="W17" s="95"/>
      <c r="X17" s="131">
        <f>IF(C17=3,0,IF(D17&lt;=введение!C$20*25,0,0))</f>
        <v>0</v>
      </c>
      <c r="Y17" s="135">
        <f t="shared" si="7"/>
        <v>0</v>
      </c>
      <c r="Z17" s="135">
        <f>IF(OR(Y17&lt;=0,),0,MIN(MIN(введение!$C$17,Y17),введение!$C$17))</f>
        <v>0</v>
      </c>
      <c r="AA17" s="135">
        <f>Z17*введение!C$18</f>
        <v>0</v>
      </c>
      <c r="AB17" s="135">
        <f>Z17*введение!C$22</f>
        <v>0</v>
      </c>
      <c r="AC17" s="135"/>
    </row>
    <row r="18" spans="1:29" x14ac:dyDescent="0.25">
      <c r="A18" s="94">
        <v>5</v>
      </c>
      <c r="B18" s="94"/>
      <c r="C18" s="94"/>
      <c r="D18" s="94"/>
      <c r="E18" s="102">
        <f>IF(C18=3,0,IF((D18-O18)&gt;введение!C$11,введение!C$11,IF((D18-O18)&lt;=введение!C$11,D18-O18,0)))</f>
        <v>0</v>
      </c>
      <c r="F18" s="147">
        <f t="shared" si="0"/>
        <v>0</v>
      </c>
      <c r="G18" s="147"/>
      <c r="H18" s="150"/>
      <c r="I18" s="135">
        <f t="shared" si="1"/>
        <v>0</v>
      </c>
      <c r="J18" s="149">
        <f>IF(C18=0,0,IF(C18&gt;1,0,IF(D18&lt;=введение!C$20*25,I18/100,I18/10)))</f>
        <v>0</v>
      </c>
      <c r="K18" s="149">
        <f>IF(C18=0,0,IF(C18=1,0,IF(C18=3,I18/10,IF(C18=2,IF(D18&lt;=введение!C$20*25,I18/100,I18/10)))))</f>
        <v>0</v>
      </c>
      <c r="L18" s="95"/>
      <c r="M18" s="21">
        <f t="shared" si="2"/>
        <v>0</v>
      </c>
      <c r="N18" s="95"/>
      <c r="O18" s="21">
        <f t="shared" si="3"/>
        <v>0</v>
      </c>
      <c r="P18" s="95"/>
      <c r="Q18" s="21">
        <f t="shared" si="4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5"/>
        <v>0</v>
      </c>
      <c r="V18" s="21">
        <f t="shared" si="6"/>
        <v>0</v>
      </c>
      <c r="W18" s="95"/>
      <c r="X18" s="131">
        <f>IF(C18=3,0,IF(D18&lt;=введение!C$20*25,0,0))</f>
        <v>0</v>
      </c>
      <c r="Y18" s="135">
        <f t="shared" si="7"/>
        <v>0</v>
      </c>
      <c r="Z18" s="135">
        <f>IF(OR(Y18&lt;=0,),0,MIN(MIN(введение!$C$17,Y18),введение!$C$17))</f>
        <v>0</v>
      </c>
      <c r="AA18" s="135">
        <f>Z18*введение!C$18</f>
        <v>0</v>
      </c>
      <c r="AB18" s="135">
        <f>Z18*введение!C$22</f>
        <v>0</v>
      </c>
      <c r="AC18" s="135"/>
    </row>
    <row r="19" spans="1:29" x14ac:dyDescent="0.25">
      <c r="A19" s="94">
        <v>6</v>
      </c>
      <c r="B19" s="94"/>
      <c r="C19" s="94"/>
      <c r="D19" s="94"/>
      <c r="E19" s="102">
        <f>IF(C19=3,0,IF((D19-O19)&gt;введение!C$11,введение!C$11,IF((D19-O19)&lt;=введение!C$11,D19-O19,0)))</f>
        <v>0</v>
      </c>
      <c r="F19" s="147">
        <f t="shared" si="0"/>
        <v>0</v>
      </c>
      <c r="G19" s="147"/>
      <c r="H19" s="150"/>
      <c r="I19" s="135">
        <f t="shared" si="1"/>
        <v>0</v>
      </c>
      <c r="J19" s="149">
        <f>IF(C19=0,0,IF(C19&gt;1,0,IF(D19&lt;=введение!C$20*25,I19/100,I19/10)))</f>
        <v>0</v>
      </c>
      <c r="K19" s="149">
        <f>IF(C19=0,0,IF(C19=1,0,IF(C19=3,I19/10,IF(C19=2,IF(D19&lt;=введение!C$20*25,I19/100,I19/10)))))</f>
        <v>0</v>
      </c>
      <c r="L19" s="95"/>
      <c r="M19" s="21">
        <f t="shared" si="2"/>
        <v>0</v>
      </c>
      <c r="N19" s="95"/>
      <c r="O19" s="21">
        <f t="shared" si="3"/>
        <v>0</v>
      </c>
      <c r="P19" s="95"/>
      <c r="Q19" s="21">
        <f t="shared" si="4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5"/>
        <v>0</v>
      </c>
      <c r="V19" s="21">
        <f t="shared" si="6"/>
        <v>0</v>
      </c>
      <c r="W19" s="95"/>
      <c r="X19" s="131">
        <f>IF(C19=3,0,IF(D19&lt;=введение!C$20*25,0,0))</f>
        <v>0</v>
      </c>
      <c r="Y19" s="135">
        <f t="shared" si="7"/>
        <v>0</v>
      </c>
      <c r="Z19" s="135">
        <f>IF(OR(Y19&lt;=0,),0,MIN(MIN(введение!$C$17,Y19),введение!$C$17))</f>
        <v>0</v>
      </c>
      <c r="AA19" s="135">
        <f>Z19*введение!C$18</f>
        <v>0</v>
      </c>
      <c r="AB19" s="135">
        <f>Z19*введение!C$22</f>
        <v>0</v>
      </c>
      <c r="AC19" s="135"/>
    </row>
    <row r="20" spans="1:29" x14ac:dyDescent="0.25">
      <c r="A20" s="94">
        <v>7</v>
      </c>
      <c r="B20" s="94"/>
      <c r="C20" s="94"/>
      <c r="D20" s="94"/>
      <c r="E20" s="102">
        <f>IF(C20=3,0,IF((D20-O20)&gt;введение!C$11,введение!C$11,IF((D20-O20)&lt;=введение!C$11,D20-O20,0)))</f>
        <v>0</v>
      </c>
      <c r="F20" s="147">
        <f t="shared" si="0"/>
        <v>0</v>
      </c>
      <c r="G20" s="147"/>
      <c r="H20" s="150"/>
      <c r="I20" s="135">
        <f t="shared" si="1"/>
        <v>0</v>
      </c>
      <c r="J20" s="149">
        <f>IF(C20=0,0,IF(C20&gt;1,0,IF(D20&lt;=введение!C$20*25,I20/100,I20/10)))</f>
        <v>0</v>
      </c>
      <c r="K20" s="149">
        <f>IF(C20=0,0,IF(C20=1,0,IF(C20=3,I20/10,IF(C20=2,IF(D20&lt;=введение!C$20*25,I20/100,I20/10)))))</f>
        <v>0</v>
      </c>
      <c r="L20" s="95"/>
      <c r="M20" s="21">
        <f t="shared" si="2"/>
        <v>0</v>
      </c>
      <c r="N20" s="95"/>
      <c r="O20" s="21">
        <f t="shared" si="3"/>
        <v>0</v>
      </c>
      <c r="P20" s="95"/>
      <c r="Q20" s="21">
        <f t="shared" si="4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5"/>
        <v>0</v>
      </c>
      <c r="V20" s="21">
        <f t="shared" si="6"/>
        <v>0</v>
      </c>
      <c r="W20" s="95"/>
      <c r="X20" s="131">
        <f>IF(C20=3,0,IF(D20&lt;=введение!C$20*25,0,0))</f>
        <v>0</v>
      </c>
      <c r="Y20" s="135">
        <f t="shared" si="7"/>
        <v>0</v>
      </c>
      <c r="Z20" s="135">
        <f>IF(OR(Y20&lt;=0,),0,MIN(MIN(введение!$C$17,Y20),введение!$C$17))</f>
        <v>0</v>
      </c>
      <c r="AA20" s="135">
        <f>Z20*введение!C$18</f>
        <v>0</v>
      </c>
      <c r="AB20" s="135">
        <f>Z20*введение!C$22</f>
        <v>0</v>
      </c>
      <c r="AC20" s="135"/>
    </row>
    <row r="21" spans="1:29" x14ac:dyDescent="0.25">
      <c r="A21" s="94">
        <v>8</v>
      </c>
      <c r="B21" s="94"/>
      <c r="C21" s="94"/>
      <c r="D21" s="94"/>
      <c r="E21" s="102">
        <f>IF(C21=3,0,IF((D21-O21)&gt;введение!C$11,введение!C$11,IF((D21-O21)&lt;=введение!C$11,D21-O21,0)))</f>
        <v>0</v>
      </c>
      <c r="F21" s="147">
        <f t="shared" si="0"/>
        <v>0</v>
      </c>
      <c r="G21" s="147"/>
      <c r="H21" s="150"/>
      <c r="I21" s="135">
        <f t="shared" si="1"/>
        <v>0</v>
      </c>
      <c r="J21" s="149">
        <f>IF(C21=0,0,IF(C21&gt;1,0,IF(D21&lt;=введение!C$20*25,I21/100,I21/10)))</f>
        <v>0</v>
      </c>
      <c r="K21" s="149">
        <f>IF(C21=0,0,IF(C21=1,0,IF(C21=3,I21/10,IF(C21=2,IF(D21&lt;=введение!C$20*25,I21/100,I21/10)))))</f>
        <v>0</v>
      </c>
      <c r="L21" s="95"/>
      <c r="M21" s="21">
        <f t="shared" si="2"/>
        <v>0</v>
      </c>
      <c r="N21" s="95"/>
      <c r="O21" s="21">
        <f t="shared" si="3"/>
        <v>0</v>
      </c>
      <c r="P21" s="95"/>
      <c r="Q21" s="21">
        <f t="shared" si="4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5"/>
        <v>0</v>
      </c>
      <c r="V21" s="21">
        <f t="shared" si="6"/>
        <v>0</v>
      </c>
      <c r="W21" s="95"/>
      <c r="X21" s="131">
        <f>IF(C21=3,0,IF(D21&lt;=введение!C$20*25,0,0))</f>
        <v>0</v>
      </c>
      <c r="Y21" s="135">
        <f t="shared" si="7"/>
        <v>0</v>
      </c>
      <c r="Z21" s="135">
        <f>IF(OR(Y21&lt;=0,),0,MIN(MIN(введение!$C$17,Y21),введение!$C$17))</f>
        <v>0</v>
      </c>
      <c r="AA21" s="135">
        <f>Z21*введение!C$18</f>
        <v>0</v>
      </c>
      <c r="AB21" s="135">
        <f>Z21*введение!C$22</f>
        <v>0</v>
      </c>
      <c r="AC21" s="135"/>
    </row>
    <row r="22" spans="1:29" x14ac:dyDescent="0.25">
      <c r="A22" s="94">
        <v>9</v>
      </c>
      <c r="B22" s="94"/>
      <c r="C22" s="94"/>
      <c r="D22" s="94"/>
      <c r="E22" s="102">
        <f>IF(C22=3,0,IF((D22-O22)&gt;введение!C$11,введение!C$11,IF((D22-O22)&lt;=введение!C$11,D22-O22,0)))</f>
        <v>0</v>
      </c>
      <c r="F22" s="147">
        <f t="shared" si="0"/>
        <v>0</v>
      </c>
      <c r="G22" s="147"/>
      <c r="H22" s="150"/>
      <c r="I22" s="135">
        <f t="shared" si="1"/>
        <v>0</v>
      </c>
      <c r="J22" s="149">
        <f>IF(C22=0,0,IF(C22&gt;1,0,IF(D22&lt;=введение!C$20*25,I22/100,I22/10)))</f>
        <v>0</v>
      </c>
      <c r="K22" s="149">
        <f>IF(C22=0,0,IF(C22=1,0,IF(C22=3,I22/10,IF(C22=2,IF(D22&lt;=введение!C$20*25,I22/100,I22/10)))))</f>
        <v>0</v>
      </c>
      <c r="L22" s="95"/>
      <c r="M22" s="21">
        <f t="shared" si="2"/>
        <v>0</v>
      </c>
      <c r="N22" s="95"/>
      <c r="O22" s="21">
        <f t="shared" si="3"/>
        <v>0</v>
      </c>
      <c r="P22" s="95"/>
      <c r="Q22" s="21">
        <f t="shared" si="4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5"/>
        <v>0</v>
      </c>
      <c r="V22" s="21">
        <f t="shared" si="6"/>
        <v>0</v>
      </c>
      <c r="W22" s="95"/>
      <c r="X22" s="131">
        <f>IF(C22=3,0,IF(D22&lt;=введение!C$20*25,0,0))</f>
        <v>0</v>
      </c>
      <c r="Y22" s="135">
        <f t="shared" si="7"/>
        <v>0</v>
      </c>
      <c r="Z22" s="135">
        <f>IF(OR(Y22&lt;=0,),0,MIN(MIN(введение!$C$17,Y22),введение!$C$17))</f>
        <v>0</v>
      </c>
      <c r="AA22" s="135">
        <f>Z22*введение!C$18</f>
        <v>0</v>
      </c>
      <c r="AB22" s="135">
        <f>Z22*введение!C$22</f>
        <v>0</v>
      </c>
      <c r="AC22" s="135"/>
    </row>
    <row r="23" spans="1:29" x14ac:dyDescent="0.25">
      <c r="A23" s="94">
        <v>10</v>
      </c>
      <c r="B23" s="94"/>
      <c r="C23" s="94"/>
      <c r="D23" s="94"/>
      <c r="E23" s="102">
        <f>IF(C23=3,0,IF((D23-O23)&gt;введение!C$11,введение!C$11,IF((D23-O23)&lt;=введение!C$11,D23-O23,0)))</f>
        <v>0</v>
      </c>
      <c r="F23" s="147">
        <f t="shared" si="0"/>
        <v>0</v>
      </c>
      <c r="G23" s="147"/>
      <c r="H23" s="150"/>
      <c r="I23" s="135">
        <f t="shared" si="1"/>
        <v>0</v>
      </c>
      <c r="J23" s="149">
        <f>IF(C23=0,0,IF(C23&gt;1,0,IF(D23&lt;=введение!C$20*25,I23/100,I23/10)))</f>
        <v>0</v>
      </c>
      <c r="K23" s="149">
        <f>IF(C23=0,0,IF(C23=1,0,IF(C23=3,I23/10,IF(C23=2,IF(D23&lt;=введение!C$20*25,I23/100,I23/10)))))</f>
        <v>0</v>
      </c>
      <c r="L23" s="95"/>
      <c r="M23" s="21">
        <f t="shared" si="2"/>
        <v>0</v>
      </c>
      <c r="N23" s="95"/>
      <c r="O23" s="21">
        <f t="shared" si="3"/>
        <v>0</v>
      </c>
      <c r="P23" s="95"/>
      <c r="Q23" s="21">
        <f t="shared" si="4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5"/>
        <v>0</v>
      </c>
      <c r="V23" s="21">
        <f t="shared" si="6"/>
        <v>0</v>
      </c>
      <c r="W23" s="95"/>
      <c r="X23" s="131">
        <f>IF(C23=3,0,IF(D23&lt;=введение!C$20*25,0,0))</f>
        <v>0</v>
      </c>
      <c r="Y23" s="135">
        <f t="shared" si="7"/>
        <v>0</v>
      </c>
      <c r="Z23" s="135">
        <f>IF(OR(Y23&lt;=0,),0,MIN(MIN(введение!$C$17,Y23),введение!$C$17))</f>
        <v>0</v>
      </c>
      <c r="AA23" s="135">
        <f>Z23*введение!C$18</f>
        <v>0</v>
      </c>
      <c r="AB23" s="135">
        <f>Z23*введение!C$22</f>
        <v>0</v>
      </c>
      <c r="AC23" s="135"/>
    </row>
    <row r="24" spans="1:29" x14ac:dyDescent="0.25">
      <c r="A24" s="94">
        <v>11</v>
      </c>
      <c r="B24" s="94"/>
      <c r="C24" s="94"/>
      <c r="D24" s="94"/>
      <c r="E24" s="102">
        <f>IF(C24=3,0,IF((D24-O24)&gt;введение!C$11,введение!C$11,IF((D24-O24)&lt;=введение!C$11,D24-O24,0)))</f>
        <v>0</v>
      </c>
      <c r="F24" s="147">
        <f t="shared" si="0"/>
        <v>0</v>
      </c>
      <c r="G24" s="147"/>
      <c r="H24" s="150"/>
      <c r="I24" s="135">
        <f t="shared" si="1"/>
        <v>0</v>
      </c>
      <c r="J24" s="149">
        <f>IF(C24=0,0,IF(C24&gt;1,0,IF(D24&lt;=введение!C$20*25,I24/100,I24/10)))</f>
        <v>0</v>
      </c>
      <c r="K24" s="149">
        <f>IF(C24=0,0,IF(C24=1,0,IF(C24=3,I24/10,IF(C24=2,IF(D24&lt;=введение!C$20*25,I24/100,I24/10)))))</f>
        <v>0</v>
      </c>
      <c r="L24" s="95"/>
      <c r="M24" s="21">
        <f t="shared" si="2"/>
        <v>0</v>
      </c>
      <c r="N24" s="95"/>
      <c r="O24" s="21">
        <f t="shared" si="3"/>
        <v>0</v>
      </c>
      <c r="P24" s="95"/>
      <c r="Q24" s="21">
        <f t="shared" si="4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5"/>
        <v>0</v>
      </c>
      <c r="V24" s="21">
        <f t="shared" si="6"/>
        <v>0</v>
      </c>
      <c r="W24" s="95"/>
      <c r="X24" s="131">
        <f>IF(C24=3,0,IF(D24&lt;=введение!C$20*25,0,0))</f>
        <v>0</v>
      </c>
      <c r="Y24" s="135">
        <f t="shared" si="7"/>
        <v>0</v>
      </c>
      <c r="Z24" s="135">
        <f>IF(OR(Y24&lt;=0,),0,MIN(MIN(введение!$C$17,Y24),введение!$C$17))</f>
        <v>0</v>
      </c>
      <c r="AA24" s="135">
        <f>Z24*введение!C$18</f>
        <v>0</v>
      </c>
      <c r="AB24" s="135">
        <f>Z24*введение!C$22</f>
        <v>0</v>
      </c>
      <c r="AC24" s="135"/>
    </row>
    <row r="25" spans="1:29" x14ac:dyDescent="0.25">
      <c r="A25" s="94">
        <v>12</v>
      </c>
      <c r="B25" s="94"/>
      <c r="C25" s="94"/>
      <c r="D25" s="94"/>
      <c r="E25" s="102">
        <f>IF(C25=3,0,IF((D25-O25)&gt;введение!C$11,введение!C$11,IF((D25-O25)&lt;=введение!C$11,D25-O25,0)))</f>
        <v>0</v>
      </c>
      <c r="F25" s="147">
        <f t="shared" si="0"/>
        <v>0</v>
      </c>
      <c r="G25" s="147"/>
      <c r="H25" s="150"/>
      <c r="I25" s="135">
        <f t="shared" si="1"/>
        <v>0</v>
      </c>
      <c r="J25" s="149">
        <f>IF(C25=0,0,IF(C25&gt;1,0,IF(D25&lt;=введение!C$20*25,I25/100,I25/10)))</f>
        <v>0</v>
      </c>
      <c r="K25" s="149">
        <f>IF(C25=0,0,IF(C25=1,0,IF(C25=3,I25/10,IF(C25=2,IF(D25&lt;=введение!C$20*25,I25/100,I25/10)))))</f>
        <v>0</v>
      </c>
      <c r="L25" s="95"/>
      <c r="M25" s="21">
        <f t="shared" si="2"/>
        <v>0</v>
      </c>
      <c r="N25" s="95"/>
      <c r="O25" s="21">
        <f t="shared" si="3"/>
        <v>0</v>
      </c>
      <c r="P25" s="95"/>
      <c r="Q25" s="21">
        <f t="shared" si="4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5"/>
        <v>0</v>
      </c>
      <c r="V25" s="21">
        <f t="shared" si="6"/>
        <v>0</v>
      </c>
      <c r="W25" s="95"/>
      <c r="X25" s="131">
        <f>IF(C25=3,0,IF(D25&lt;=введение!C$20*25,0,0))</f>
        <v>0</v>
      </c>
      <c r="Y25" s="135">
        <f t="shared" si="7"/>
        <v>0</v>
      </c>
      <c r="Z25" s="135">
        <f>IF(OR(Y25&lt;=0,),0,MIN(MIN(введение!$C$17,Y25),введение!$C$17))</f>
        <v>0</v>
      </c>
      <c r="AA25" s="135">
        <f>Z25*введение!C$18</f>
        <v>0</v>
      </c>
      <c r="AB25" s="135">
        <f>Z25*введение!C$22</f>
        <v>0</v>
      </c>
      <c r="AC25" s="135"/>
    </row>
    <row r="26" spans="1:29" x14ac:dyDescent="0.25">
      <c r="A26" s="325" t="s">
        <v>73</v>
      </c>
      <c r="B26" s="326"/>
      <c r="C26" s="90"/>
      <c r="D26" s="22">
        <f>SUM(D14:D25)</f>
        <v>270000</v>
      </c>
      <c r="E26" s="22">
        <f t="shared" ref="E26:U26" si="8">SUM(E14:E25)</f>
        <v>85000</v>
      </c>
      <c r="F26" s="136">
        <f t="shared" si="8"/>
        <v>1900</v>
      </c>
      <c r="G26" s="136">
        <f t="shared" si="8"/>
        <v>0</v>
      </c>
      <c r="H26" s="136">
        <f t="shared" si="8"/>
        <v>0</v>
      </c>
      <c r="I26" s="136">
        <f t="shared" si="8"/>
        <v>164100</v>
      </c>
      <c r="J26" s="136">
        <f t="shared" si="8"/>
        <v>5540</v>
      </c>
      <c r="K26" s="136">
        <f t="shared" si="8"/>
        <v>10870</v>
      </c>
      <c r="L26" s="22">
        <f t="shared" si="8"/>
        <v>0</v>
      </c>
      <c r="M26" s="22">
        <f t="shared" si="8"/>
        <v>190000</v>
      </c>
      <c r="N26" s="22">
        <f>SUM(N14:N25)</f>
        <v>0</v>
      </c>
      <c r="O26" s="22">
        <f>SUM(O14:O25)</f>
        <v>19000</v>
      </c>
      <c r="P26" s="22">
        <f t="shared" si="8"/>
        <v>0</v>
      </c>
      <c r="Q26" s="22">
        <f t="shared" si="8"/>
        <v>171000</v>
      </c>
      <c r="R26" s="22">
        <f t="shared" si="8"/>
        <v>171000</v>
      </c>
      <c r="S26" s="22">
        <f>SUM(S14:S25)</f>
        <v>5985</v>
      </c>
      <c r="T26" s="22">
        <f t="shared" si="8"/>
        <v>0</v>
      </c>
      <c r="U26" s="22">
        <f t="shared" si="8"/>
        <v>0</v>
      </c>
      <c r="V26" s="22">
        <f t="shared" ref="V26:AB26" si="9">SUM(V14:V25)</f>
        <v>3</v>
      </c>
      <c r="W26" s="22">
        <f t="shared" si="9"/>
        <v>0</v>
      </c>
      <c r="X26" s="136">
        <f t="shared" si="9"/>
        <v>0</v>
      </c>
      <c r="Y26" s="136">
        <f t="shared" si="9"/>
        <v>190000</v>
      </c>
      <c r="Z26" s="136">
        <f t="shared" si="9"/>
        <v>190000</v>
      </c>
      <c r="AA26" s="136">
        <f t="shared" si="9"/>
        <v>3800</v>
      </c>
      <c r="AB26" s="136">
        <f t="shared" si="9"/>
        <v>1900</v>
      </c>
      <c r="AC26" s="137">
        <f>IF(D26&gt;0,D26/V26,0)</f>
        <v>90000</v>
      </c>
    </row>
    <row r="27" spans="1:29" x14ac:dyDescent="0.25">
      <c r="A27" s="43"/>
      <c r="B27" s="43"/>
      <c r="C27" s="44"/>
      <c r="D27" s="44"/>
    </row>
    <row r="28" spans="1:29" x14ac:dyDescent="0.25">
      <c r="A28" s="45" t="s">
        <v>62</v>
      </c>
      <c r="B28" s="37"/>
      <c r="C28"/>
      <c r="D28"/>
    </row>
    <row r="29" spans="1:29" x14ac:dyDescent="0.25">
      <c r="A29" s="37"/>
      <c r="B29" s="37"/>
      <c r="C29"/>
      <c r="D29"/>
    </row>
    <row r="30" spans="1:29" x14ac:dyDescent="0.25">
      <c r="A30" s="43"/>
      <c r="B30" s="43"/>
      <c r="C30" s="44"/>
      <c r="D30" s="44"/>
    </row>
    <row r="31" spans="1:29" x14ac:dyDescent="0.25">
      <c r="A31" s="45" t="s">
        <v>63</v>
      </c>
      <c r="B31" s="37"/>
      <c r="C31"/>
      <c r="D31"/>
    </row>
    <row r="32" spans="1:29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H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AC38"/>
  <sheetViews>
    <sheetView topLeftCell="A13" workbookViewId="0">
      <selection activeCell="G20" sqref="G20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8" width="8.7109375" style="17"/>
    <col min="9" max="9" width="11" style="17" customWidth="1"/>
    <col min="10" max="10" width="9.5703125" style="17" customWidth="1"/>
    <col min="11" max="11" width="10" style="17" customWidth="1"/>
    <col min="12" max="12" width="12.5703125" style="17" customWidth="1"/>
    <col min="13" max="13" width="8.7109375" style="17"/>
    <col min="14" max="14" width="10.42578125" style="17" customWidth="1"/>
    <col min="15" max="15" width="13.7109375" style="17" customWidth="1"/>
    <col min="16" max="16" width="15.42578125" style="17" customWidth="1"/>
    <col min="17" max="17" width="16" style="17" customWidth="1"/>
    <col min="18" max="18" width="19.7109375" style="17" customWidth="1"/>
    <col min="19" max="19" width="13" style="17" customWidth="1"/>
    <col min="20" max="23" width="8.7109375" style="17"/>
    <col min="24" max="24" width="15" style="5" bestFit="1" customWidth="1"/>
    <col min="25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K2" s="19"/>
      <c r="S2" s="18" t="s">
        <v>14</v>
      </c>
    </row>
    <row r="3" spans="1:29" x14ac:dyDescent="0.25">
      <c r="A3" s="20"/>
      <c r="B3" s="20"/>
      <c r="C3" s="20"/>
      <c r="D3" s="20"/>
    </row>
    <row r="4" spans="1:29" x14ac:dyDescent="0.25">
      <c r="A4" s="58" t="s">
        <v>67</v>
      </c>
      <c r="B4" s="44"/>
      <c r="C4" s="58"/>
      <c r="D4" s="58"/>
    </row>
    <row r="5" spans="1:29" x14ac:dyDescent="0.25">
      <c r="A5" s="36"/>
      <c r="B5" s="36"/>
      <c r="C5" s="36"/>
      <c r="D5" s="36"/>
    </row>
    <row r="6" spans="1:29" x14ac:dyDescent="0.25">
      <c r="A6" s="36">
        <v>1</v>
      </c>
      <c r="B6" s="58" t="s">
        <v>68</v>
      </c>
      <c r="C6" s="58"/>
      <c r="D6" s="58"/>
    </row>
    <row r="7" spans="1:29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9" x14ac:dyDescent="0.25">
      <c r="A8" s="36">
        <v>3</v>
      </c>
      <c r="B8" s="58" t="s">
        <v>93</v>
      </c>
      <c r="C8" s="58"/>
      <c r="D8" s="58" t="str">
        <f>IF('№ 910 Декларация '!L12=1,"май","ноябрь")</f>
        <v>ноябрь</v>
      </c>
      <c r="E8" s="17">
        <f>'№ 910 Декларация '!O12</f>
        <v>2020</v>
      </c>
    </row>
    <row r="9" spans="1:29" x14ac:dyDescent="0.25">
      <c r="A9" s="50"/>
      <c r="B9" s="50"/>
      <c r="C9" s="50"/>
      <c r="D9" s="50"/>
      <c r="E9" s="50"/>
      <c r="F9" s="50"/>
      <c r="G9" s="50"/>
    </row>
    <row r="10" spans="1:29" ht="43.5" customHeight="1" x14ac:dyDescent="0.25">
      <c r="A10" s="324" t="s">
        <v>174</v>
      </c>
      <c r="B10" s="324"/>
      <c r="C10" s="324"/>
      <c r="D10" s="324"/>
      <c r="E10" s="324"/>
      <c r="F10" s="324"/>
      <c r="G10" s="324"/>
      <c r="H10" s="324"/>
    </row>
    <row r="11" spans="1:29" x14ac:dyDescent="0.25">
      <c r="A11" s="50"/>
      <c r="B11" s="50"/>
      <c r="C11" s="50"/>
      <c r="D11" s="50"/>
      <c r="E11" s="50"/>
      <c r="F11" s="50"/>
      <c r="G11" s="50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132</v>
      </c>
      <c r="D13" s="60" t="s">
        <v>71</v>
      </c>
      <c r="E13" s="60" t="s">
        <v>72</v>
      </c>
      <c r="F13" s="39" t="s">
        <v>210</v>
      </c>
      <c r="G13" s="39" t="s">
        <v>209</v>
      </c>
      <c r="H13" s="60" t="s">
        <v>76</v>
      </c>
      <c r="I13" s="60" t="s">
        <v>77</v>
      </c>
      <c r="J13" s="39" t="s">
        <v>133</v>
      </c>
      <c r="K13" s="39" t="s">
        <v>134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188</v>
      </c>
      <c r="Y13" s="39" t="s">
        <v>187</v>
      </c>
      <c r="Z13" s="39" t="s">
        <v>122</v>
      </c>
      <c r="AA13" s="39" t="s">
        <v>124</v>
      </c>
      <c r="AB13" s="39" t="s">
        <v>206</v>
      </c>
      <c r="AC13" s="39" t="s">
        <v>129</v>
      </c>
    </row>
    <row r="14" spans="1:29" x14ac:dyDescent="0.25">
      <c r="A14" s="94">
        <v>1</v>
      </c>
      <c r="B14" s="94" t="s">
        <v>263</v>
      </c>
      <c r="C14" s="94">
        <v>1</v>
      </c>
      <c r="D14" s="147">
        <v>110000</v>
      </c>
      <c r="E14" s="102">
        <f>IF(C14=3,0,IF((D14-O14)&gt;введение!C$11,введение!C$11,IF((D14-O14)&lt;=введение!C$11,D14-O14,0)))</f>
        <v>42500</v>
      </c>
      <c r="F14" s="147">
        <f>IF(AB14&gt;0,AB14,0)</f>
        <v>1100</v>
      </c>
      <c r="G14" s="147"/>
      <c r="H14" s="150"/>
      <c r="I14" s="135">
        <f>IF(C14=3,D14-H14,D14-H14-E14-O14-F14-G14)</f>
        <v>55400</v>
      </c>
      <c r="J14" s="149">
        <f>IF(C14=0,0,IF(C14&gt;1,0,IF(D14&lt;=введение!C$20*25,I14/100,I14/10)))</f>
        <v>5540</v>
      </c>
      <c r="K14" s="149">
        <f>IF(C14=0,0,IF(C14=1,0,IF(C14=3,I14/10,IF(C14=2,IF(D14&lt;=введение!C$20*25,I14/100,I14/10)))))</f>
        <v>0</v>
      </c>
      <c r="L14" s="95"/>
      <c r="M14" s="21">
        <f>IF(C14=3,0,IF(N14=1,0,D14-L14))</f>
        <v>110000</v>
      </c>
      <c r="N14" s="95"/>
      <c r="O14" s="21">
        <f>M14*10%</f>
        <v>11000</v>
      </c>
      <c r="P14" s="95"/>
      <c r="Q14" s="21">
        <f>IF(C14=3,0,IF(N14=1,0,D14-O14-P14))</f>
        <v>99000</v>
      </c>
      <c r="R14" s="21">
        <f>IF(OR(Q14&lt;=0,),0,MIN(MAX(введение!$C$11,Q14),введение!$C$14))</f>
        <v>99000</v>
      </c>
      <c r="S14" s="21">
        <f>ROUND(R14*введение!C$15,0)</f>
        <v>3465</v>
      </c>
      <c r="T14" s="95"/>
      <c r="U14" s="21">
        <f>ROUND(T14*0.05,0)</f>
        <v>0</v>
      </c>
      <c r="V14" s="21">
        <f>IF(D14=0,0,1)</f>
        <v>1</v>
      </c>
      <c r="W14" s="95"/>
      <c r="X14" s="131">
        <f>IF(C14=3,0,IF(D14&lt;=введение!C$20*25,0,0))</f>
        <v>0</v>
      </c>
      <c r="Y14" s="135">
        <f>IF(C14=3,0,IF(N14=1,0,D14-W14-X14))</f>
        <v>110000</v>
      </c>
      <c r="Z14" s="135">
        <f>IF(OR(Y14&lt;=0,),0,MIN(MIN(введение!$C$17,Y14),введение!$C$17))</f>
        <v>110000</v>
      </c>
      <c r="AA14" s="135">
        <f>Z14*введение!C$18</f>
        <v>2200</v>
      </c>
      <c r="AB14" s="135">
        <f>Z14*введение!C$22</f>
        <v>1100</v>
      </c>
      <c r="AC14" s="135"/>
    </row>
    <row r="15" spans="1:29" x14ac:dyDescent="0.25">
      <c r="A15" s="94">
        <v>2</v>
      </c>
      <c r="B15" s="94" t="s">
        <v>264</v>
      </c>
      <c r="C15" s="94">
        <v>2</v>
      </c>
      <c r="D15" s="147">
        <v>80000</v>
      </c>
      <c r="E15" s="102">
        <f>IF(C15=3,0,IF((D15-O15)&gt;введение!C$11,введение!C$11,IF((D15-O15)&lt;=введение!C$11,D15-O15,0)))</f>
        <v>42500</v>
      </c>
      <c r="F15" s="147">
        <f t="shared" ref="F15:F25" si="0">IF(AB15&gt;0,AB15,0)</f>
        <v>800</v>
      </c>
      <c r="G15" s="147"/>
      <c r="H15" s="150"/>
      <c r="I15" s="135">
        <f t="shared" ref="I15:I25" si="1">IF(C15=3,D15-H15,D15-H15-E15-O15-F15-G15)</f>
        <v>28700</v>
      </c>
      <c r="J15" s="149">
        <f>IF(C15=0,0,IF(C15&gt;1,0,IF(D15&lt;=введение!C$20*25,I15/100,I15/10)))</f>
        <v>0</v>
      </c>
      <c r="K15" s="149">
        <f>IF(C15=0,0,IF(C15=1,0,IF(C15=3,I15/10,IF(C15=2,IF(D15&lt;=введение!C$20*25,I15/100,I15/10)))))</f>
        <v>2870</v>
      </c>
      <c r="L15" s="95"/>
      <c r="M15" s="21">
        <f t="shared" ref="M15:M25" si="2">IF(C15=3,0,IF(N15=1,0,D15-L15))</f>
        <v>80000</v>
      </c>
      <c r="N15" s="95"/>
      <c r="O15" s="21">
        <f t="shared" ref="O15:O25" si="3">M15*10%</f>
        <v>8000</v>
      </c>
      <c r="P15" s="95"/>
      <c r="Q15" s="21">
        <f t="shared" ref="Q15:Q25" si="4">IF(C15=3,0,IF(N15=1,0,D15-O15-P15))</f>
        <v>72000</v>
      </c>
      <c r="R15" s="21">
        <f>IF(OR(Q15&lt;=0,),0,MIN(MAX(введение!$C$11,Q15),введение!$C$14))</f>
        <v>72000</v>
      </c>
      <c r="S15" s="21">
        <f>ROUND(R15*введение!C$15,0)</f>
        <v>2520</v>
      </c>
      <c r="T15" s="95"/>
      <c r="U15" s="21">
        <f t="shared" ref="U15:U25" si="5">ROUND(T15*0.05,0)</f>
        <v>0</v>
      </c>
      <c r="V15" s="21">
        <f t="shared" ref="V15:V25" si="6">IF(D15=0,0,1)</f>
        <v>1</v>
      </c>
      <c r="W15" s="95"/>
      <c r="X15" s="131">
        <f>IF(C15=3,0,IF(D15&lt;=введение!C$20*25,0,0))</f>
        <v>0</v>
      </c>
      <c r="Y15" s="135">
        <f t="shared" ref="Y15:Y25" si="7">IF(C15=3,0,IF(N15=1,0,D15-W15-X15))</f>
        <v>80000</v>
      </c>
      <c r="Z15" s="135">
        <f>IF(OR(Y15&lt;=0,),0,MIN(MIN(введение!$C$17,Y15),введение!$C$17))</f>
        <v>80000</v>
      </c>
      <c r="AA15" s="135">
        <f>Z15*введение!C$18</f>
        <v>1600</v>
      </c>
      <c r="AB15" s="135">
        <f>Z15*введение!C$22</f>
        <v>800</v>
      </c>
      <c r="AC15" s="135"/>
    </row>
    <row r="16" spans="1:29" x14ac:dyDescent="0.25">
      <c r="A16" s="94">
        <v>3</v>
      </c>
      <c r="B16" s="94" t="s">
        <v>265</v>
      </c>
      <c r="C16" s="94">
        <v>3</v>
      </c>
      <c r="D16" s="147">
        <v>80000</v>
      </c>
      <c r="E16" s="102">
        <f>IF(C16=3,0,IF((D16-O16)&gt;введение!C$11,введение!C$11,IF((D16-O16)&lt;=введение!C$11,D16-O16,0)))</f>
        <v>0</v>
      </c>
      <c r="F16" s="147">
        <f t="shared" si="0"/>
        <v>0</v>
      </c>
      <c r="G16" s="147"/>
      <c r="H16" s="150"/>
      <c r="I16" s="135">
        <f t="shared" si="1"/>
        <v>80000</v>
      </c>
      <c r="J16" s="149">
        <f>IF(C16=0,0,IF(C16&gt;1,0,IF(D16&lt;=введение!C$20*25,I16/100,I16/10)))</f>
        <v>0</v>
      </c>
      <c r="K16" s="149">
        <f>IF(C16=0,0,IF(C16=1,0,IF(C16=3,I16/10,IF(C16=2,IF(D16&lt;=введение!C$20*25,I16/100,I16/10)))))</f>
        <v>8000</v>
      </c>
      <c r="L16" s="95"/>
      <c r="M16" s="21">
        <f t="shared" si="2"/>
        <v>0</v>
      </c>
      <c r="N16" s="95"/>
      <c r="O16" s="21">
        <f t="shared" si="3"/>
        <v>0</v>
      </c>
      <c r="P16" s="95"/>
      <c r="Q16" s="21">
        <f t="shared" si="4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5"/>
        <v>0</v>
      </c>
      <c r="V16" s="21">
        <f t="shared" si="6"/>
        <v>1</v>
      </c>
      <c r="W16" s="95"/>
      <c r="X16" s="131">
        <f>IF(C16=3,0,IF(D16&lt;=введение!C$20*25,0,0))</f>
        <v>0</v>
      </c>
      <c r="Y16" s="135">
        <f t="shared" si="7"/>
        <v>0</v>
      </c>
      <c r="Z16" s="135">
        <f>IF(OR(Y16&lt;=0,),0,MIN(MIN(введение!$C$17,Y16),введение!$C$17))</f>
        <v>0</v>
      </c>
      <c r="AA16" s="135">
        <f>Z16*введение!C$18</f>
        <v>0</v>
      </c>
      <c r="AB16" s="135">
        <f>Z16*введение!C$22</f>
        <v>0</v>
      </c>
      <c r="AC16" s="135"/>
    </row>
    <row r="17" spans="1:29" x14ac:dyDescent="0.25">
      <c r="A17" s="94">
        <v>4</v>
      </c>
      <c r="B17" s="94"/>
      <c r="C17" s="94"/>
      <c r="D17" s="94"/>
      <c r="E17" s="102">
        <f>IF(C17=3,0,IF((D17-O17)&gt;введение!C$11,введение!C$11,IF((D17-O17)&lt;=введение!C$11,D17-O17,0)))</f>
        <v>0</v>
      </c>
      <c r="F17" s="147">
        <f t="shared" si="0"/>
        <v>0</v>
      </c>
      <c r="G17" s="147"/>
      <c r="H17" s="150"/>
      <c r="I17" s="135">
        <f t="shared" si="1"/>
        <v>0</v>
      </c>
      <c r="J17" s="149">
        <f>IF(C17=0,0,IF(C17&gt;1,0,IF(D17&lt;=введение!C$20*25,I17/100,I17/10)))</f>
        <v>0</v>
      </c>
      <c r="K17" s="149">
        <f>IF(C17=0,0,IF(C17=1,0,IF(C17=3,I17/10,IF(C17=2,IF(D17&lt;=введение!C$20*25,I17/100,I17/10)))))</f>
        <v>0</v>
      </c>
      <c r="L17" s="95"/>
      <c r="M17" s="21">
        <f t="shared" si="2"/>
        <v>0</v>
      </c>
      <c r="N17" s="95"/>
      <c r="O17" s="21">
        <f t="shared" si="3"/>
        <v>0</v>
      </c>
      <c r="P17" s="95"/>
      <c r="Q17" s="21">
        <f t="shared" si="4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5"/>
        <v>0</v>
      </c>
      <c r="V17" s="21">
        <f t="shared" si="6"/>
        <v>0</v>
      </c>
      <c r="W17" s="95"/>
      <c r="X17" s="131">
        <f>IF(C17=3,0,IF(D17&lt;=введение!C$20*25,0,0))</f>
        <v>0</v>
      </c>
      <c r="Y17" s="135">
        <f t="shared" si="7"/>
        <v>0</v>
      </c>
      <c r="Z17" s="135">
        <f>IF(OR(Y17&lt;=0,),0,MIN(MIN(введение!$C$17,Y17),введение!$C$17))</f>
        <v>0</v>
      </c>
      <c r="AA17" s="135">
        <f>Z17*введение!C$18</f>
        <v>0</v>
      </c>
      <c r="AB17" s="135">
        <f>Z17*введение!C$22</f>
        <v>0</v>
      </c>
      <c r="AC17" s="135"/>
    </row>
    <row r="18" spans="1:29" x14ac:dyDescent="0.25">
      <c r="A18" s="94">
        <v>5</v>
      </c>
      <c r="B18" s="94"/>
      <c r="C18" s="94"/>
      <c r="D18" s="94"/>
      <c r="E18" s="102">
        <f>IF(C18=3,0,IF((D18-O18)&gt;введение!C$11,введение!C$11,IF((D18-O18)&lt;=введение!C$11,D18-O18,0)))</f>
        <v>0</v>
      </c>
      <c r="F18" s="147">
        <f t="shared" si="0"/>
        <v>0</v>
      </c>
      <c r="G18" s="147"/>
      <c r="H18" s="150"/>
      <c r="I18" s="135">
        <f t="shared" si="1"/>
        <v>0</v>
      </c>
      <c r="J18" s="149">
        <f>IF(C18=0,0,IF(C18&gt;1,0,IF(D18&lt;=введение!C$20*25,I18/100,I18/10)))</f>
        <v>0</v>
      </c>
      <c r="K18" s="149">
        <f>IF(C18=0,0,IF(C18=1,0,IF(C18=3,I18/10,IF(C18=2,IF(D18&lt;=введение!C$20*25,I18/100,I18/10)))))</f>
        <v>0</v>
      </c>
      <c r="L18" s="95"/>
      <c r="M18" s="21">
        <f t="shared" si="2"/>
        <v>0</v>
      </c>
      <c r="N18" s="95"/>
      <c r="O18" s="21">
        <f t="shared" si="3"/>
        <v>0</v>
      </c>
      <c r="P18" s="95"/>
      <c r="Q18" s="21">
        <f t="shared" si="4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5"/>
        <v>0</v>
      </c>
      <c r="V18" s="21">
        <f t="shared" si="6"/>
        <v>0</v>
      </c>
      <c r="W18" s="95"/>
      <c r="X18" s="131">
        <f>IF(C18=3,0,IF(D18&lt;=введение!C$20*25,0,0))</f>
        <v>0</v>
      </c>
      <c r="Y18" s="135">
        <f t="shared" si="7"/>
        <v>0</v>
      </c>
      <c r="Z18" s="135">
        <f>IF(OR(Y18&lt;=0,),0,MIN(MIN(введение!$C$17,Y18),введение!$C$17))</f>
        <v>0</v>
      </c>
      <c r="AA18" s="135">
        <f>Z18*введение!C$18</f>
        <v>0</v>
      </c>
      <c r="AB18" s="135">
        <f>Z18*введение!C$22</f>
        <v>0</v>
      </c>
      <c r="AC18" s="135"/>
    </row>
    <row r="19" spans="1:29" x14ac:dyDescent="0.25">
      <c r="A19" s="94">
        <v>6</v>
      </c>
      <c r="B19" s="94"/>
      <c r="C19" s="94"/>
      <c r="D19" s="94"/>
      <c r="E19" s="102">
        <f>IF(C19=3,0,IF((D19-O19)&gt;введение!C$11,введение!C$11,IF((D19-O19)&lt;=введение!C$11,D19-O19,0)))</f>
        <v>0</v>
      </c>
      <c r="F19" s="147">
        <f t="shared" si="0"/>
        <v>0</v>
      </c>
      <c r="G19" s="147"/>
      <c r="H19" s="150"/>
      <c r="I19" s="135">
        <f t="shared" si="1"/>
        <v>0</v>
      </c>
      <c r="J19" s="149">
        <f>IF(C19=0,0,IF(C19&gt;1,0,IF(D19&lt;=введение!C$20*25,I19/100,I19/10)))</f>
        <v>0</v>
      </c>
      <c r="K19" s="149">
        <f>IF(C19=0,0,IF(C19=1,0,IF(C19=3,I19/10,IF(C19=2,IF(D19&lt;=введение!C$20*25,I19/100,I19/10)))))</f>
        <v>0</v>
      </c>
      <c r="L19" s="95"/>
      <c r="M19" s="21">
        <f t="shared" si="2"/>
        <v>0</v>
      </c>
      <c r="N19" s="95"/>
      <c r="O19" s="21">
        <f t="shared" si="3"/>
        <v>0</v>
      </c>
      <c r="P19" s="95"/>
      <c r="Q19" s="21">
        <f t="shared" si="4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5"/>
        <v>0</v>
      </c>
      <c r="V19" s="21">
        <f t="shared" si="6"/>
        <v>0</v>
      </c>
      <c r="W19" s="95"/>
      <c r="X19" s="131">
        <f>IF(C19=3,0,IF(D19&lt;=введение!C$20*25,0,0))</f>
        <v>0</v>
      </c>
      <c r="Y19" s="135">
        <f t="shared" si="7"/>
        <v>0</v>
      </c>
      <c r="Z19" s="135">
        <f>IF(OR(Y19&lt;=0,),0,MIN(MIN(введение!$C$17,Y19),введение!$C$17))</f>
        <v>0</v>
      </c>
      <c r="AA19" s="135">
        <f>Z19*введение!C$18</f>
        <v>0</v>
      </c>
      <c r="AB19" s="135">
        <f>Z19*введение!C$22</f>
        <v>0</v>
      </c>
      <c r="AC19" s="135"/>
    </row>
    <row r="20" spans="1:29" x14ac:dyDescent="0.25">
      <c r="A20" s="94">
        <v>7</v>
      </c>
      <c r="B20" s="94"/>
      <c r="C20" s="94"/>
      <c r="D20" s="94"/>
      <c r="E20" s="102">
        <f>IF(C20=3,0,IF((D20-O20)&gt;введение!C$11,введение!C$11,IF((D20-O20)&lt;=введение!C$11,D20-O20,0)))</f>
        <v>0</v>
      </c>
      <c r="F20" s="147">
        <f t="shared" si="0"/>
        <v>0</v>
      </c>
      <c r="G20" s="147"/>
      <c r="H20" s="150"/>
      <c r="I20" s="135">
        <f t="shared" si="1"/>
        <v>0</v>
      </c>
      <c r="J20" s="149">
        <f>IF(C20=0,0,IF(C20&gt;1,0,IF(D20&lt;=введение!C$20*25,I20/100,I20/10)))</f>
        <v>0</v>
      </c>
      <c r="K20" s="149">
        <f>IF(C20=0,0,IF(C20=1,0,IF(C20=3,I20/10,IF(C20=2,IF(D20&lt;=введение!C$20*25,I20/100,I20/10)))))</f>
        <v>0</v>
      </c>
      <c r="L20" s="95"/>
      <c r="M20" s="21">
        <f t="shared" si="2"/>
        <v>0</v>
      </c>
      <c r="N20" s="95"/>
      <c r="O20" s="21">
        <f t="shared" si="3"/>
        <v>0</v>
      </c>
      <c r="P20" s="95"/>
      <c r="Q20" s="21">
        <f t="shared" si="4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5"/>
        <v>0</v>
      </c>
      <c r="V20" s="21">
        <f t="shared" si="6"/>
        <v>0</v>
      </c>
      <c r="W20" s="95"/>
      <c r="X20" s="131">
        <f>IF(C20=3,0,IF(D20&lt;=введение!C$20*25,0,0))</f>
        <v>0</v>
      </c>
      <c r="Y20" s="135">
        <f t="shared" si="7"/>
        <v>0</v>
      </c>
      <c r="Z20" s="135">
        <f>IF(OR(Y20&lt;=0,),0,MIN(MIN(введение!$C$17,Y20),введение!$C$17))</f>
        <v>0</v>
      </c>
      <c r="AA20" s="135">
        <f>Z20*введение!C$18</f>
        <v>0</v>
      </c>
      <c r="AB20" s="135">
        <f>Z20*введение!C$22</f>
        <v>0</v>
      </c>
      <c r="AC20" s="135"/>
    </row>
    <row r="21" spans="1:29" x14ac:dyDescent="0.25">
      <c r="A21" s="94">
        <v>8</v>
      </c>
      <c r="B21" s="94"/>
      <c r="C21" s="94"/>
      <c r="D21" s="94"/>
      <c r="E21" s="102">
        <f>IF(C21=3,0,IF((D21-O21)&gt;введение!C$11,введение!C$11,IF((D21-O21)&lt;=введение!C$11,D21-O21,0)))</f>
        <v>0</v>
      </c>
      <c r="F21" s="147">
        <f t="shared" si="0"/>
        <v>0</v>
      </c>
      <c r="G21" s="147"/>
      <c r="H21" s="150"/>
      <c r="I21" s="135">
        <f t="shared" si="1"/>
        <v>0</v>
      </c>
      <c r="J21" s="149">
        <f>IF(C21=0,0,IF(C21&gt;1,0,IF(D21&lt;=введение!C$20*25,I21/100,I21/10)))</f>
        <v>0</v>
      </c>
      <c r="K21" s="149">
        <f>IF(C21=0,0,IF(C21=1,0,IF(C21=3,I21/10,IF(C21=2,IF(D21&lt;=введение!C$20*25,I21/100,I21/10)))))</f>
        <v>0</v>
      </c>
      <c r="L21" s="95"/>
      <c r="M21" s="21">
        <f t="shared" si="2"/>
        <v>0</v>
      </c>
      <c r="N21" s="95"/>
      <c r="O21" s="21">
        <f t="shared" si="3"/>
        <v>0</v>
      </c>
      <c r="P21" s="95"/>
      <c r="Q21" s="21">
        <f t="shared" si="4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5"/>
        <v>0</v>
      </c>
      <c r="V21" s="21">
        <f t="shared" si="6"/>
        <v>0</v>
      </c>
      <c r="W21" s="95"/>
      <c r="X21" s="131">
        <f>IF(C21=3,0,IF(D21&lt;=введение!C$20*25,0,0))</f>
        <v>0</v>
      </c>
      <c r="Y21" s="135">
        <f t="shared" si="7"/>
        <v>0</v>
      </c>
      <c r="Z21" s="135">
        <f>IF(OR(Y21&lt;=0,),0,MIN(MIN(введение!$C$17,Y21),введение!$C$17))</f>
        <v>0</v>
      </c>
      <c r="AA21" s="135">
        <f>Z21*введение!C$18</f>
        <v>0</v>
      </c>
      <c r="AB21" s="135">
        <f>Z21*введение!C$22</f>
        <v>0</v>
      </c>
      <c r="AC21" s="135"/>
    </row>
    <row r="22" spans="1:29" x14ac:dyDescent="0.25">
      <c r="A22" s="94">
        <v>9</v>
      </c>
      <c r="B22" s="94"/>
      <c r="C22" s="94"/>
      <c r="D22" s="94"/>
      <c r="E22" s="102">
        <f>IF(C22=3,0,IF((D22-O22)&gt;введение!C$11,введение!C$11,IF((D22-O22)&lt;=введение!C$11,D22-O22,0)))</f>
        <v>0</v>
      </c>
      <c r="F22" s="147">
        <f t="shared" si="0"/>
        <v>0</v>
      </c>
      <c r="G22" s="147"/>
      <c r="H22" s="150"/>
      <c r="I22" s="135">
        <f t="shared" si="1"/>
        <v>0</v>
      </c>
      <c r="J22" s="149">
        <f>IF(C22=0,0,IF(C22&gt;1,0,IF(D22&lt;=введение!C$20*25,I22/100,I22/10)))</f>
        <v>0</v>
      </c>
      <c r="K22" s="149">
        <f>IF(C22=0,0,IF(C22=1,0,IF(C22=3,I22/10,IF(C22=2,IF(D22&lt;=введение!C$20*25,I22/100,I22/10)))))</f>
        <v>0</v>
      </c>
      <c r="L22" s="95"/>
      <c r="M22" s="21">
        <f t="shared" si="2"/>
        <v>0</v>
      </c>
      <c r="N22" s="95"/>
      <c r="O22" s="21">
        <f t="shared" si="3"/>
        <v>0</v>
      </c>
      <c r="P22" s="95"/>
      <c r="Q22" s="21">
        <f t="shared" si="4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5"/>
        <v>0</v>
      </c>
      <c r="V22" s="21">
        <f t="shared" si="6"/>
        <v>0</v>
      </c>
      <c r="W22" s="95"/>
      <c r="X22" s="131">
        <f>IF(C22=3,0,IF(D22&lt;=введение!C$20*25,0,0))</f>
        <v>0</v>
      </c>
      <c r="Y22" s="135">
        <f t="shared" si="7"/>
        <v>0</v>
      </c>
      <c r="Z22" s="135">
        <f>IF(OR(Y22&lt;=0,),0,MIN(MIN(введение!$C$17,Y22),введение!$C$17))</f>
        <v>0</v>
      </c>
      <c r="AA22" s="135">
        <f>Z22*введение!C$18</f>
        <v>0</v>
      </c>
      <c r="AB22" s="135">
        <f>Z22*введение!C$22</f>
        <v>0</v>
      </c>
      <c r="AC22" s="135"/>
    </row>
    <row r="23" spans="1:29" x14ac:dyDescent="0.25">
      <c r="A23" s="94">
        <v>10</v>
      </c>
      <c r="B23" s="94"/>
      <c r="C23" s="94"/>
      <c r="D23" s="94"/>
      <c r="E23" s="102">
        <f>IF(C23=3,0,IF((D23-O23)&gt;введение!C$11,введение!C$11,IF((D23-O23)&lt;=введение!C$11,D23-O23,0)))</f>
        <v>0</v>
      </c>
      <c r="F23" s="147">
        <f t="shared" si="0"/>
        <v>0</v>
      </c>
      <c r="G23" s="147"/>
      <c r="H23" s="150"/>
      <c r="I23" s="135">
        <f t="shared" si="1"/>
        <v>0</v>
      </c>
      <c r="J23" s="149">
        <f>IF(C23=0,0,IF(C23&gt;1,0,IF(D23&lt;=введение!C$20*25,I23/100,I23/10)))</f>
        <v>0</v>
      </c>
      <c r="K23" s="149">
        <f>IF(C23=0,0,IF(C23=1,0,IF(C23=3,I23/10,IF(C23=2,IF(D23&lt;=введение!C$20*25,I23/100,I23/10)))))</f>
        <v>0</v>
      </c>
      <c r="L23" s="95"/>
      <c r="M23" s="21">
        <f t="shared" si="2"/>
        <v>0</v>
      </c>
      <c r="N23" s="95"/>
      <c r="O23" s="21">
        <f t="shared" si="3"/>
        <v>0</v>
      </c>
      <c r="P23" s="95"/>
      <c r="Q23" s="21">
        <f t="shared" si="4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5"/>
        <v>0</v>
      </c>
      <c r="V23" s="21">
        <f t="shared" si="6"/>
        <v>0</v>
      </c>
      <c r="W23" s="95"/>
      <c r="X23" s="131">
        <f>IF(C23=3,0,IF(D23&lt;=введение!C$20*25,0,0))</f>
        <v>0</v>
      </c>
      <c r="Y23" s="135">
        <f t="shared" si="7"/>
        <v>0</v>
      </c>
      <c r="Z23" s="135">
        <f>IF(OR(Y23&lt;=0,),0,MIN(MIN(введение!$C$17,Y23),введение!$C$17))</f>
        <v>0</v>
      </c>
      <c r="AA23" s="135">
        <f>Z23*введение!C$18</f>
        <v>0</v>
      </c>
      <c r="AB23" s="135">
        <f>Z23*введение!C$22</f>
        <v>0</v>
      </c>
      <c r="AC23" s="135"/>
    </row>
    <row r="24" spans="1:29" x14ac:dyDescent="0.25">
      <c r="A24" s="94">
        <v>11</v>
      </c>
      <c r="B24" s="94"/>
      <c r="C24" s="94"/>
      <c r="D24" s="94"/>
      <c r="E24" s="102">
        <f>IF(C24=3,0,IF((D24-O24)&gt;введение!C$11,введение!C$11,IF((D24-O24)&lt;=введение!C$11,D24-O24,0)))</f>
        <v>0</v>
      </c>
      <c r="F24" s="147">
        <f t="shared" si="0"/>
        <v>0</v>
      </c>
      <c r="G24" s="147"/>
      <c r="H24" s="150"/>
      <c r="I24" s="135">
        <f t="shared" si="1"/>
        <v>0</v>
      </c>
      <c r="J24" s="149">
        <f>IF(C24=0,0,IF(C24&gt;1,0,IF(D24&lt;=введение!C$20*25,I24/100,I24/10)))</f>
        <v>0</v>
      </c>
      <c r="K24" s="149">
        <f>IF(C24=0,0,IF(C24=1,0,IF(C24=3,I24/10,IF(C24=2,IF(D24&lt;=введение!C$20*25,I24/100,I24/10)))))</f>
        <v>0</v>
      </c>
      <c r="L24" s="95"/>
      <c r="M24" s="21">
        <f t="shared" si="2"/>
        <v>0</v>
      </c>
      <c r="N24" s="95"/>
      <c r="O24" s="21">
        <f t="shared" si="3"/>
        <v>0</v>
      </c>
      <c r="P24" s="95"/>
      <c r="Q24" s="21">
        <f t="shared" si="4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5"/>
        <v>0</v>
      </c>
      <c r="V24" s="21">
        <f t="shared" si="6"/>
        <v>0</v>
      </c>
      <c r="W24" s="95"/>
      <c r="X24" s="131">
        <f>IF(C24=3,0,IF(D24&lt;=введение!C$20*25,0,0))</f>
        <v>0</v>
      </c>
      <c r="Y24" s="135">
        <f t="shared" si="7"/>
        <v>0</v>
      </c>
      <c r="Z24" s="135">
        <f>IF(OR(Y24&lt;=0,),0,MIN(MIN(введение!$C$17,Y24),введение!$C$17))</f>
        <v>0</v>
      </c>
      <c r="AA24" s="135">
        <f>Z24*введение!C$18</f>
        <v>0</v>
      </c>
      <c r="AB24" s="135">
        <f>Z24*введение!C$22</f>
        <v>0</v>
      </c>
      <c r="AC24" s="135"/>
    </row>
    <row r="25" spans="1:29" x14ac:dyDescent="0.25">
      <c r="A25" s="94">
        <v>12</v>
      </c>
      <c r="B25" s="94"/>
      <c r="C25" s="94"/>
      <c r="D25" s="94"/>
      <c r="E25" s="102">
        <f>IF(C25=3,0,IF((D25-O25)&gt;введение!C$11,введение!C$11,IF((D25-O25)&lt;=введение!C$11,D25-O25,0)))</f>
        <v>0</v>
      </c>
      <c r="F25" s="147">
        <f t="shared" si="0"/>
        <v>0</v>
      </c>
      <c r="G25" s="147"/>
      <c r="H25" s="150"/>
      <c r="I25" s="135">
        <f t="shared" si="1"/>
        <v>0</v>
      </c>
      <c r="J25" s="149">
        <f>IF(C25=0,0,IF(C25&gt;1,0,IF(D25&lt;=введение!C$20*25,I25/100,I25/10)))</f>
        <v>0</v>
      </c>
      <c r="K25" s="149">
        <f>IF(C25=0,0,IF(C25=1,0,IF(C25=3,I25/10,IF(C25=2,IF(D25&lt;=введение!C$20*25,I25/100,I25/10)))))</f>
        <v>0</v>
      </c>
      <c r="L25" s="95"/>
      <c r="M25" s="21">
        <f t="shared" si="2"/>
        <v>0</v>
      </c>
      <c r="N25" s="95"/>
      <c r="O25" s="21">
        <f t="shared" si="3"/>
        <v>0</v>
      </c>
      <c r="P25" s="95"/>
      <c r="Q25" s="21">
        <f t="shared" si="4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5"/>
        <v>0</v>
      </c>
      <c r="V25" s="21">
        <f t="shared" si="6"/>
        <v>0</v>
      </c>
      <c r="W25" s="95"/>
      <c r="X25" s="131">
        <f>IF(C25=3,0,IF(D25&lt;=введение!C$20*25,0,0))</f>
        <v>0</v>
      </c>
      <c r="Y25" s="135">
        <f t="shared" si="7"/>
        <v>0</v>
      </c>
      <c r="Z25" s="135">
        <f>IF(OR(Y25&lt;=0,),0,MIN(MIN(введение!$C$17,Y25),введение!$C$17))</f>
        <v>0</v>
      </c>
      <c r="AA25" s="135">
        <f>Z25*введение!C$18</f>
        <v>0</v>
      </c>
      <c r="AB25" s="135">
        <f>Z25*введение!C$22</f>
        <v>0</v>
      </c>
      <c r="AC25" s="135"/>
    </row>
    <row r="26" spans="1:29" x14ac:dyDescent="0.25">
      <c r="A26" s="325" t="s">
        <v>73</v>
      </c>
      <c r="B26" s="326"/>
      <c r="C26" s="90"/>
      <c r="D26" s="22">
        <f>SUM(D14:D25)</f>
        <v>270000</v>
      </c>
      <c r="E26" s="22">
        <f t="shared" ref="E26:U26" si="8">SUM(E14:E25)</f>
        <v>85000</v>
      </c>
      <c r="F26" s="136">
        <f t="shared" si="8"/>
        <v>1900</v>
      </c>
      <c r="G26" s="136">
        <f t="shared" si="8"/>
        <v>0</v>
      </c>
      <c r="H26" s="136">
        <f t="shared" si="8"/>
        <v>0</v>
      </c>
      <c r="I26" s="136">
        <f t="shared" si="8"/>
        <v>164100</v>
      </c>
      <c r="J26" s="136">
        <f t="shared" si="8"/>
        <v>5540</v>
      </c>
      <c r="K26" s="136">
        <f t="shared" si="8"/>
        <v>10870</v>
      </c>
      <c r="L26" s="22">
        <f t="shared" si="8"/>
        <v>0</v>
      </c>
      <c r="M26" s="22">
        <f t="shared" si="8"/>
        <v>190000</v>
      </c>
      <c r="N26" s="22">
        <f>SUM(N14:N25)</f>
        <v>0</v>
      </c>
      <c r="O26" s="22">
        <f>SUM(O14:O25)</f>
        <v>19000</v>
      </c>
      <c r="P26" s="22">
        <f t="shared" si="8"/>
        <v>0</v>
      </c>
      <c r="Q26" s="22">
        <f t="shared" si="8"/>
        <v>171000</v>
      </c>
      <c r="R26" s="22">
        <f t="shared" si="8"/>
        <v>171000</v>
      </c>
      <c r="S26" s="22">
        <f>SUM(S14:S25)</f>
        <v>5985</v>
      </c>
      <c r="T26" s="22">
        <f t="shared" si="8"/>
        <v>0</v>
      </c>
      <c r="U26" s="22">
        <f t="shared" si="8"/>
        <v>0</v>
      </c>
      <c r="V26" s="22">
        <f t="shared" ref="V26:AB26" si="9">SUM(V14:V25)</f>
        <v>3</v>
      </c>
      <c r="W26" s="22">
        <f t="shared" si="9"/>
        <v>0</v>
      </c>
      <c r="X26" s="136">
        <f t="shared" si="9"/>
        <v>0</v>
      </c>
      <c r="Y26" s="136">
        <f t="shared" si="9"/>
        <v>190000</v>
      </c>
      <c r="Z26" s="136">
        <f t="shared" si="9"/>
        <v>190000</v>
      </c>
      <c r="AA26" s="136">
        <f t="shared" si="9"/>
        <v>3800</v>
      </c>
      <c r="AB26" s="136">
        <f t="shared" si="9"/>
        <v>1900</v>
      </c>
      <c r="AC26" s="137">
        <f>IF(D26&gt;0,D26/V26,0)</f>
        <v>90000</v>
      </c>
    </row>
    <row r="27" spans="1:29" x14ac:dyDescent="0.25">
      <c r="A27" s="43"/>
      <c r="B27" s="43"/>
      <c r="C27" s="44"/>
      <c r="D27" s="44"/>
    </row>
    <row r="28" spans="1:29" x14ac:dyDescent="0.25">
      <c r="A28" s="45" t="s">
        <v>62</v>
      </c>
      <c r="B28" s="37"/>
      <c r="C28"/>
      <c r="D28"/>
    </row>
    <row r="29" spans="1:29" x14ac:dyDescent="0.25">
      <c r="A29" s="37"/>
      <c r="B29" s="37"/>
      <c r="C29"/>
      <c r="D29"/>
    </row>
    <row r="30" spans="1:29" x14ac:dyDescent="0.25">
      <c r="A30" s="43"/>
      <c r="B30" s="43"/>
      <c r="C30" s="44"/>
      <c r="D30" s="44"/>
    </row>
    <row r="31" spans="1:29" x14ac:dyDescent="0.25">
      <c r="A31" s="45" t="s">
        <v>63</v>
      </c>
      <c r="B31" s="37"/>
      <c r="C31"/>
      <c r="D31"/>
    </row>
    <row r="32" spans="1:29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AC38"/>
  <sheetViews>
    <sheetView topLeftCell="A13" workbookViewId="0">
      <selection activeCell="G17" sqref="G17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8" width="8.7109375" style="17"/>
    <col min="9" max="9" width="11" style="17" customWidth="1"/>
    <col min="10" max="10" width="9.5703125" style="17" customWidth="1"/>
    <col min="11" max="11" width="10" style="17" customWidth="1"/>
    <col min="12" max="12" width="12.5703125" style="17" customWidth="1"/>
    <col min="13" max="13" width="8.7109375" style="17"/>
    <col min="14" max="14" width="10.42578125" style="17" customWidth="1"/>
    <col min="15" max="15" width="13.7109375" style="17" customWidth="1"/>
    <col min="16" max="16" width="15.42578125" style="17" customWidth="1"/>
    <col min="17" max="17" width="16" style="17" customWidth="1"/>
    <col min="18" max="18" width="19.7109375" style="17" customWidth="1"/>
    <col min="19" max="19" width="13" style="17" customWidth="1"/>
    <col min="20" max="23" width="8.7109375" style="17"/>
    <col min="24" max="24" width="15" style="5" bestFit="1" customWidth="1"/>
    <col min="25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D2" s="18" t="s">
        <v>14</v>
      </c>
      <c r="K2" s="19"/>
    </row>
    <row r="3" spans="1:29" x14ac:dyDescent="0.25">
      <c r="A3" s="20"/>
      <c r="B3" s="20"/>
      <c r="C3" s="20"/>
      <c r="D3" s="20"/>
    </row>
    <row r="4" spans="1:29" x14ac:dyDescent="0.25">
      <c r="A4" s="58" t="s">
        <v>67</v>
      </c>
      <c r="B4" s="44"/>
      <c r="C4" s="58"/>
      <c r="D4" s="58"/>
    </row>
    <row r="5" spans="1:29" x14ac:dyDescent="0.25">
      <c r="A5" s="36"/>
      <c r="B5" s="36"/>
      <c r="C5" s="36"/>
      <c r="D5" s="36"/>
    </row>
    <row r="6" spans="1:29" x14ac:dyDescent="0.25">
      <c r="A6" s="36">
        <v>1</v>
      </c>
      <c r="B6" s="58" t="s">
        <v>68</v>
      </c>
      <c r="C6" s="58"/>
      <c r="D6" s="58"/>
    </row>
    <row r="7" spans="1:29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9" x14ac:dyDescent="0.25">
      <c r="A8" s="36">
        <v>3</v>
      </c>
      <c r="B8" s="58" t="s">
        <v>93</v>
      </c>
      <c r="C8" s="58"/>
      <c r="D8" s="58" t="str">
        <f>IF('№ 910 Декларация '!L12=1,"июнь","декабрь")</f>
        <v>декабрь</v>
      </c>
      <c r="E8" s="17">
        <f>'№ 910 Декларация '!O12</f>
        <v>2020</v>
      </c>
    </row>
    <row r="9" spans="1:29" x14ac:dyDescent="0.25">
      <c r="A9" s="50"/>
      <c r="B9" s="50"/>
      <c r="C9" s="50"/>
      <c r="D9" s="50"/>
      <c r="E9" s="50"/>
      <c r="F9" s="50"/>
      <c r="G9" s="50"/>
    </row>
    <row r="10" spans="1:29" ht="43.5" customHeight="1" x14ac:dyDescent="0.25">
      <c r="A10" s="324" t="s">
        <v>175</v>
      </c>
      <c r="B10" s="324"/>
      <c r="C10" s="324"/>
      <c r="D10" s="324"/>
      <c r="E10" s="324"/>
      <c r="F10" s="324"/>
      <c r="G10" s="324"/>
      <c r="H10" s="324"/>
    </row>
    <row r="11" spans="1:29" x14ac:dyDescent="0.25">
      <c r="A11" s="50"/>
      <c r="B11" s="50"/>
      <c r="C11" s="50"/>
      <c r="D11" s="50"/>
      <c r="E11" s="50"/>
      <c r="F11" s="50"/>
      <c r="G11" s="50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132</v>
      </c>
      <c r="D13" s="60" t="s">
        <v>71</v>
      </c>
      <c r="E13" s="60" t="s">
        <v>72</v>
      </c>
      <c r="F13" s="39" t="s">
        <v>210</v>
      </c>
      <c r="G13" s="39" t="s">
        <v>209</v>
      </c>
      <c r="H13" s="60" t="s">
        <v>76</v>
      </c>
      <c r="I13" s="60" t="s">
        <v>77</v>
      </c>
      <c r="J13" s="39" t="s">
        <v>133</v>
      </c>
      <c r="K13" s="39" t="s">
        <v>134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188</v>
      </c>
      <c r="Y13" s="39" t="s">
        <v>187</v>
      </c>
      <c r="Z13" s="39" t="s">
        <v>122</v>
      </c>
      <c r="AA13" s="39" t="s">
        <v>124</v>
      </c>
      <c r="AB13" s="39" t="s">
        <v>206</v>
      </c>
      <c r="AC13" s="39" t="s">
        <v>129</v>
      </c>
    </row>
    <row r="14" spans="1:29" x14ac:dyDescent="0.25">
      <c r="A14" s="94">
        <v>1</v>
      </c>
      <c r="B14" s="94" t="s">
        <v>263</v>
      </c>
      <c r="C14" s="94">
        <v>1</v>
      </c>
      <c r="D14" s="147">
        <v>110000</v>
      </c>
      <c r="E14" s="102">
        <f>IF(C14=3,0,IF((D14-O14)&gt;введение!C$11,введение!C$11,IF((D14-O14)&lt;=введение!C$11,D14-O14,0)))</f>
        <v>42500</v>
      </c>
      <c r="F14" s="147">
        <f>IF(AB14&gt;0,AB14,0)</f>
        <v>1100</v>
      </c>
      <c r="G14" s="147"/>
      <c r="H14" s="150"/>
      <c r="I14" s="135">
        <f>IF(C14=3,D14-H14,D14-H14-E14-O14-F14-G14)</f>
        <v>55400</v>
      </c>
      <c r="J14" s="149">
        <f>IF(C14=0,0,IF(C14&gt;1,0,IF(D14&lt;=введение!C$20*25,I14/100,I14/10)))</f>
        <v>5540</v>
      </c>
      <c r="K14" s="149">
        <f>IF(C14=0,0,IF(C14=1,0,IF(C14=3,I14/10,IF(C14=2,IF(D14&lt;=введение!C$20*25,I14/100,I14/10)))))</f>
        <v>0</v>
      </c>
      <c r="L14" s="95"/>
      <c r="M14" s="21">
        <f>IF(C14=3,0,IF(N14=1,0,D14-L14))</f>
        <v>110000</v>
      </c>
      <c r="N14" s="95"/>
      <c r="O14" s="21">
        <f>M14*10%</f>
        <v>11000</v>
      </c>
      <c r="P14" s="95"/>
      <c r="Q14" s="21">
        <f>IF(C14=3,0,IF(N14=1,0,D14-O14-P14))</f>
        <v>99000</v>
      </c>
      <c r="R14" s="21">
        <f>IF(OR(Q14&lt;=0,),0,MIN(MAX(введение!$C$11,Q14),введение!$C$14))</f>
        <v>99000</v>
      </c>
      <c r="S14" s="21">
        <f>ROUND(R14*введение!C$15,0)</f>
        <v>3465</v>
      </c>
      <c r="T14" s="95"/>
      <c r="U14" s="21">
        <f>ROUND(T14*0.05,0)</f>
        <v>0</v>
      </c>
      <c r="V14" s="21">
        <f>IF(D14=0,0,1)</f>
        <v>1</v>
      </c>
      <c r="W14" s="95"/>
      <c r="X14" s="131">
        <f>IF(C14=3,0,IF(D14&lt;=введение!C$20*25,0,0))</f>
        <v>0</v>
      </c>
      <c r="Y14" s="135">
        <f>IF(C14=3,0,IF(N14=1,0,D14-W14-X14))</f>
        <v>110000</v>
      </c>
      <c r="Z14" s="135">
        <f>IF(OR(Y14&lt;=0,),0,MIN(MIN(введение!$C$17,Y14),введение!$C$17))</f>
        <v>110000</v>
      </c>
      <c r="AA14" s="135">
        <f>Z14*введение!C$18</f>
        <v>2200</v>
      </c>
      <c r="AB14" s="135">
        <f>Z14*введение!C$22</f>
        <v>1100</v>
      </c>
      <c r="AC14" s="135"/>
    </row>
    <row r="15" spans="1:29" x14ac:dyDescent="0.25">
      <c r="A15" s="94">
        <v>2</v>
      </c>
      <c r="B15" s="94" t="s">
        <v>264</v>
      </c>
      <c r="C15" s="94">
        <v>2</v>
      </c>
      <c r="D15" s="147">
        <v>80000</v>
      </c>
      <c r="E15" s="102">
        <f>IF(C15=3,0,IF((D15-O15)&gt;введение!C$11,введение!C$11,IF((D15-O15)&lt;=введение!C$11,D15-O15,0)))</f>
        <v>42500</v>
      </c>
      <c r="F15" s="147">
        <f t="shared" ref="F15:F25" si="0">IF(AB15&gt;0,AB15,0)</f>
        <v>800</v>
      </c>
      <c r="G15" s="147"/>
      <c r="H15" s="150"/>
      <c r="I15" s="135">
        <f t="shared" ref="I15:I25" si="1">IF(C15=3,D15-H15,D15-H15-E15-O15-F15-G15)</f>
        <v>28700</v>
      </c>
      <c r="J15" s="149">
        <f>IF(C15=0,0,IF(C15&gt;1,0,IF(D15&lt;=введение!C$20*25,I15/100,I15/10)))</f>
        <v>0</v>
      </c>
      <c r="K15" s="149">
        <f>IF(C15=0,0,IF(C15=1,0,IF(C15=3,I15/10,IF(C15=2,IF(D15&lt;=введение!C$20*25,I15/100,I15/10)))))</f>
        <v>2870</v>
      </c>
      <c r="L15" s="95"/>
      <c r="M15" s="21">
        <f t="shared" ref="M15:M25" si="2">IF(C15=3,0,IF(N15=1,0,D15-L15))</f>
        <v>80000</v>
      </c>
      <c r="N15" s="95"/>
      <c r="O15" s="21">
        <f t="shared" ref="O15:O25" si="3">M15*10%</f>
        <v>8000</v>
      </c>
      <c r="P15" s="95"/>
      <c r="Q15" s="21">
        <f t="shared" ref="Q15:Q25" si="4">IF(C15=3,0,IF(N15=1,0,D15-O15-P15))</f>
        <v>72000</v>
      </c>
      <c r="R15" s="21">
        <f>IF(OR(Q15&lt;=0,),0,MIN(MAX(введение!$C$11,Q15),введение!$C$14))</f>
        <v>72000</v>
      </c>
      <c r="S15" s="21">
        <f>ROUND(R15*введение!C$15,0)</f>
        <v>2520</v>
      </c>
      <c r="T15" s="95"/>
      <c r="U15" s="21">
        <f t="shared" ref="U15:U25" si="5">ROUND(T15*0.05,0)</f>
        <v>0</v>
      </c>
      <c r="V15" s="21">
        <f t="shared" ref="V15:V25" si="6">IF(D15=0,0,1)</f>
        <v>1</v>
      </c>
      <c r="W15" s="95"/>
      <c r="X15" s="131">
        <f>IF(C15=3,0,IF(D15&lt;=введение!C$20*25,0,0))</f>
        <v>0</v>
      </c>
      <c r="Y15" s="135">
        <f t="shared" ref="Y15:Y25" si="7">IF(C15=3,0,IF(N15=1,0,D15-W15-X15))</f>
        <v>80000</v>
      </c>
      <c r="Z15" s="135">
        <f>IF(OR(Y15&lt;=0,),0,MIN(MIN(введение!$C$17,Y15),введение!$C$17))</f>
        <v>80000</v>
      </c>
      <c r="AA15" s="135">
        <f>Z15*введение!C$18</f>
        <v>1600</v>
      </c>
      <c r="AB15" s="135">
        <f>Z15*введение!C$22</f>
        <v>800</v>
      </c>
      <c r="AC15" s="135"/>
    </row>
    <row r="16" spans="1:29" x14ac:dyDescent="0.25">
      <c r="A16" s="94">
        <v>3</v>
      </c>
      <c r="B16" s="94" t="s">
        <v>265</v>
      </c>
      <c r="C16" s="94">
        <v>3</v>
      </c>
      <c r="D16" s="147">
        <v>80000</v>
      </c>
      <c r="E16" s="102">
        <f>IF(C16=3,0,IF((D16-O16)&gt;введение!C$11,введение!C$11,IF((D16-O16)&lt;=введение!C$11,D16-O16,0)))</f>
        <v>0</v>
      </c>
      <c r="F16" s="147">
        <f t="shared" si="0"/>
        <v>0</v>
      </c>
      <c r="G16" s="147"/>
      <c r="H16" s="150"/>
      <c r="I16" s="135">
        <f t="shared" si="1"/>
        <v>80000</v>
      </c>
      <c r="J16" s="149">
        <f>IF(C16=0,0,IF(C16&gt;1,0,IF(D16&lt;=введение!C$20*25,I16/100,I16/10)))</f>
        <v>0</v>
      </c>
      <c r="K16" s="149">
        <f>IF(C16=0,0,IF(C16=1,0,IF(C16=3,I16/10,IF(C16=2,IF(D16&lt;=введение!C$20*25,I16/100,I16/10)))))</f>
        <v>8000</v>
      </c>
      <c r="L16" s="95"/>
      <c r="M16" s="21">
        <f t="shared" si="2"/>
        <v>0</v>
      </c>
      <c r="N16" s="95"/>
      <c r="O16" s="21">
        <f t="shared" si="3"/>
        <v>0</v>
      </c>
      <c r="P16" s="95"/>
      <c r="Q16" s="21">
        <f t="shared" si="4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5"/>
        <v>0</v>
      </c>
      <c r="V16" s="21">
        <f t="shared" si="6"/>
        <v>1</v>
      </c>
      <c r="W16" s="95"/>
      <c r="X16" s="131">
        <f>IF(C16=3,0,IF(D16&lt;=введение!C$20*25,0,0))</f>
        <v>0</v>
      </c>
      <c r="Y16" s="135">
        <f t="shared" si="7"/>
        <v>0</v>
      </c>
      <c r="Z16" s="135">
        <f>IF(OR(Y16&lt;=0,),0,MIN(MIN(введение!$C$17,Y16),введение!$C$17))</f>
        <v>0</v>
      </c>
      <c r="AA16" s="135">
        <f>Z16*введение!C$18</f>
        <v>0</v>
      </c>
      <c r="AB16" s="135">
        <f>Z16*введение!C$22</f>
        <v>0</v>
      </c>
      <c r="AC16" s="135"/>
    </row>
    <row r="17" spans="1:29" x14ac:dyDescent="0.25">
      <c r="A17" s="94">
        <v>4</v>
      </c>
      <c r="B17" s="94"/>
      <c r="C17" s="94"/>
      <c r="D17" s="94"/>
      <c r="E17" s="102">
        <f>IF(C17=3,0,IF((D17-O17)&gt;введение!C$11,введение!C$11,IF((D17-O17)&lt;=введение!C$11,D17-O17,0)))</f>
        <v>0</v>
      </c>
      <c r="F17" s="147">
        <f t="shared" si="0"/>
        <v>0</v>
      </c>
      <c r="G17" s="147"/>
      <c r="H17" s="150"/>
      <c r="I17" s="135">
        <f t="shared" si="1"/>
        <v>0</v>
      </c>
      <c r="J17" s="149">
        <f>IF(C17=0,0,IF(C17&gt;1,0,IF(D17&lt;=введение!C$20*25,I17/100,I17/10)))</f>
        <v>0</v>
      </c>
      <c r="K17" s="149">
        <f>IF(C17=0,0,IF(C17=1,0,IF(C17=3,I17/10,IF(C17=2,IF(D17&lt;=введение!C$20*25,I17/100,I17/10)))))</f>
        <v>0</v>
      </c>
      <c r="L17" s="95"/>
      <c r="M17" s="21">
        <f t="shared" si="2"/>
        <v>0</v>
      </c>
      <c r="N17" s="95"/>
      <c r="O17" s="21">
        <f t="shared" si="3"/>
        <v>0</v>
      </c>
      <c r="P17" s="95"/>
      <c r="Q17" s="21">
        <f t="shared" si="4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5"/>
        <v>0</v>
      </c>
      <c r="V17" s="21">
        <f t="shared" si="6"/>
        <v>0</v>
      </c>
      <c r="W17" s="95"/>
      <c r="X17" s="131">
        <f>IF(C17=3,0,IF(D17&lt;=введение!C$20*25,0,0))</f>
        <v>0</v>
      </c>
      <c r="Y17" s="135">
        <f t="shared" si="7"/>
        <v>0</v>
      </c>
      <c r="Z17" s="135">
        <f>IF(OR(Y17&lt;=0,),0,MIN(MIN(введение!$C$17,Y17),введение!$C$17))</f>
        <v>0</v>
      </c>
      <c r="AA17" s="135">
        <f>Z17*введение!C$18</f>
        <v>0</v>
      </c>
      <c r="AB17" s="135">
        <f>Z17*введение!C$22</f>
        <v>0</v>
      </c>
      <c r="AC17" s="135"/>
    </row>
    <row r="18" spans="1:29" x14ac:dyDescent="0.25">
      <c r="A18" s="94">
        <v>5</v>
      </c>
      <c r="B18" s="94"/>
      <c r="C18" s="94"/>
      <c r="D18" s="94"/>
      <c r="E18" s="102">
        <f>IF(C18=3,0,IF((D18-O18)&gt;введение!C$11,введение!C$11,IF((D18-O18)&lt;=введение!C$11,D18-O18,0)))</f>
        <v>0</v>
      </c>
      <c r="F18" s="147">
        <f t="shared" si="0"/>
        <v>0</v>
      </c>
      <c r="G18" s="147"/>
      <c r="H18" s="150"/>
      <c r="I18" s="135">
        <f t="shared" si="1"/>
        <v>0</v>
      </c>
      <c r="J18" s="149">
        <f>IF(C18=0,0,IF(C18&gt;1,0,IF(D18&lt;=введение!C$20*25,I18/100,I18/10)))</f>
        <v>0</v>
      </c>
      <c r="K18" s="149">
        <f>IF(C18=0,0,IF(C18=1,0,IF(C18=3,I18/10,IF(C18=2,IF(D18&lt;=введение!C$20*25,I18/100,I18/10)))))</f>
        <v>0</v>
      </c>
      <c r="L18" s="95"/>
      <c r="M18" s="21">
        <f t="shared" si="2"/>
        <v>0</v>
      </c>
      <c r="N18" s="95"/>
      <c r="O18" s="21">
        <f t="shared" si="3"/>
        <v>0</v>
      </c>
      <c r="P18" s="95"/>
      <c r="Q18" s="21">
        <f t="shared" si="4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5"/>
        <v>0</v>
      </c>
      <c r="V18" s="21">
        <f t="shared" si="6"/>
        <v>0</v>
      </c>
      <c r="W18" s="95"/>
      <c r="X18" s="131">
        <f>IF(C18=3,0,IF(D18&lt;=введение!C$20*25,0,0))</f>
        <v>0</v>
      </c>
      <c r="Y18" s="135">
        <f t="shared" si="7"/>
        <v>0</v>
      </c>
      <c r="Z18" s="135">
        <f>IF(OR(Y18&lt;=0,),0,MIN(MIN(введение!$C$17,Y18),введение!$C$17))</f>
        <v>0</v>
      </c>
      <c r="AA18" s="135">
        <f>Z18*введение!C$18</f>
        <v>0</v>
      </c>
      <c r="AB18" s="135">
        <f>Z18*введение!C$22</f>
        <v>0</v>
      </c>
      <c r="AC18" s="135"/>
    </row>
    <row r="19" spans="1:29" x14ac:dyDescent="0.25">
      <c r="A19" s="94">
        <v>6</v>
      </c>
      <c r="B19" s="94"/>
      <c r="C19" s="94"/>
      <c r="D19" s="94"/>
      <c r="E19" s="102">
        <f>IF(C19=3,0,IF((D19-O19)&gt;введение!C$11,введение!C$11,IF((D19-O19)&lt;=введение!C$11,D19-O19,0)))</f>
        <v>0</v>
      </c>
      <c r="F19" s="147">
        <f t="shared" si="0"/>
        <v>0</v>
      </c>
      <c r="G19" s="147"/>
      <c r="H19" s="150"/>
      <c r="I19" s="135">
        <f t="shared" si="1"/>
        <v>0</v>
      </c>
      <c r="J19" s="149">
        <f>IF(C19=0,0,IF(C19&gt;1,0,IF(D19&lt;=введение!C$20*25,I19/100,I19/10)))</f>
        <v>0</v>
      </c>
      <c r="K19" s="149">
        <f>IF(C19=0,0,IF(C19=1,0,IF(C19=3,I19/10,IF(C19=2,IF(D19&lt;=введение!C$20*25,I19/100,I19/10)))))</f>
        <v>0</v>
      </c>
      <c r="L19" s="95"/>
      <c r="M19" s="21">
        <f t="shared" si="2"/>
        <v>0</v>
      </c>
      <c r="N19" s="95"/>
      <c r="O19" s="21">
        <f t="shared" si="3"/>
        <v>0</v>
      </c>
      <c r="P19" s="95"/>
      <c r="Q19" s="21">
        <f t="shared" si="4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5"/>
        <v>0</v>
      </c>
      <c r="V19" s="21">
        <f t="shared" si="6"/>
        <v>0</v>
      </c>
      <c r="W19" s="95"/>
      <c r="X19" s="131">
        <f>IF(C19=3,0,IF(D19&lt;=введение!C$20*25,0,0))</f>
        <v>0</v>
      </c>
      <c r="Y19" s="135">
        <f t="shared" si="7"/>
        <v>0</v>
      </c>
      <c r="Z19" s="135">
        <f>IF(OR(Y19&lt;=0,),0,MIN(MIN(введение!$C$17,Y19),введение!$C$17))</f>
        <v>0</v>
      </c>
      <c r="AA19" s="135">
        <f>Z19*введение!C$18</f>
        <v>0</v>
      </c>
      <c r="AB19" s="135">
        <f>Z19*введение!C$22</f>
        <v>0</v>
      </c>
      <c r="AC19" s="135"/>
    </row>
    <row r="20" spans="1:29" x14ac:dyDescent="0.25">
      <c r="A20" s="94">
        <v>7</v>
      </c>
      <c r="B20" s="94"/>
      <c r="C20" s="94"/>
      <c r="D20" s="94"/>
      <c r="E20" s="102">
        <f>IF(C20=3,0,IF((D20-O20)&gt;введение!C$11,введение!C$11,IF((D20-O20)&lt;=введение!C$11,D20-O20,0)))</f>
        <v>0</v>
      </c>
      <c r="F20" s="147">
        <f t="shared" si="0"/>
        <v>0</v>
      </c>
      <c r="G20" s="147"/>
      <c r="H20" s="150"/>
      <c r="I20" s="135">
        <f t="shared" si="1"/>
        <v>0</v>
      </c>
      <c r="J20" s="149">
        <f>IF(C20=0,0,IF(C20&gt;1,0,IF(D20&lt;=введение!C$20*25,I20/100,I20/10)))</f>
        <v>0</v>
      </c>
      <c r="K20" s="149">
        <f>IF(C20=0,0,IF(C20=1,0,IF(C20=3,I20/10,IF(C20=2,IF(D20&lt;=введение!C$20*25,I20/100,I20/10)))))</f>
        <v>0</v>
      </c>
      <c r="L20" s="95"/>
      <c r="M20" s="21">
        <f t="shared" si="2"/>
        <v>0</v>
      </c>
      <c r="N20" s="95"/>
      <c r="O20" s="21">
        <f t="shared" si="3"/>
        <v>0</v>
      </c>
      <c r="P20" s="95"/>
      <c r="Q20" s="21">
        <f t="shared" si="4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5"/>
        <v>0</v>
      </c>
      <c r="V20" s="21">
        <f t="shared" si="6"/>
        <v>0</v>
      </c>
      <c r="W20" s="95"/>
      <c r="X20" s="131">
        <f>IF(C20=3,0,IF(D20&lt;=введение!C$20*25,0,0))</f>
        <v>0</v>
      </c>
      <c r="Y20" s="135">
        <f t="shared" si="7"/>
        <v>0</v>
      </c>
      <c r="Z20" s="135">
        <f>IF(OR(Y20&lt;=0,),0,MIN(MIN(введение!$C$17,Y20),введение!$C$17))</f>
        <v>0</v>
      </c>
      <c r="AA20" s="135">
        <f>Z20*введение!C$18</f>
        <v>0</v>
      </c>
      <c r="AB20" s="135">
        <f>Z20*введение!C$22</f>
        <v>0</v>
      </c>
      <c r="AC20" s="135"/>
    </row>
    <row r="21" spans="1:29" x14ac:dyDescent="0.25">
      <c r="A21" s="94">
        <v>8</v>
      </c>
      <c r="B21" s="94"/>
      <c r="C21" s="94"/>
      <c r="D21" s="94"/>
      <c r="E21" s="102">
        <f>IF(C21=3,0,IF((D21-O21)&gt;введение!C$11,введение!C$11,IF((D21-O21)&lt;=введение!C$11,D21-O21,0)))</f>
        <v>0</v>
      </c>
      <c r="F21" s="147">
        <f t="shared" si="0"/>
        <v>0</v>
      </c>
      <c r="G21" s="147"/>
      <c r="H21" s="150"/>
      <c r="I21" s="135">
        <f t="shared" si="1"/>
        <v>0</v>
      </c>
      <c r="J21" s="149">
        <f>IF(C21=0,0,IF(C21&gt;1,0,IF(D21&lt;=введение!C$20*25,I21/100,I21/10)))</f>
        <v>0</v>
      </c>
      <c r="K21" s="149">
        <f>IF(C21=0,0,IF(C21=1,0,IF(C21=3,I21/10,IF(C21=2,IF(D21&lt;=введение!C$20*25,I21/100,I21/10)))))</f>
        <v>0</v>
      </c>
      <c r="L21" s="95"/>
      <c r="M21" s="21">
        <f t="shared" si="2"/>
        <v>0</v>
      </c>
      <c r="N21" s="95"/>
      <c r="O21" s="21">
        <f t="shared" si="3"/>
        <v>0</v>
      </c>
      <c r="P21" s="95"/>
      <c r="Q21" s="21">
        <f t="shared" si="4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5"/>
        <v>0</v>
      </c>
      <c r="V21" s="21">
        <f t="shared" si="6"/>
        <v>0</v>
      </c>
      <c r="W21" s="95"/>
      <c r="X21" s="131">
        <f>IF(C21=3,0,IF(D21&lt;=введение!C$20*25,0,0))</f>
        <v>0</v>
      </c>
      <c r="Y21" s="135">
        <f t="shared" si="7"/>
        <v>0</v>
      </c>
      <c r="Z21" s="135">
        <f>IF(OR(Y21&lt;=0,),0,MIN(MIN(введение!$C$17,Y21),введение!$C$17))</f>
        <v>0</v>
      </c>
      <c r="AA21" s="135">
        <f>Z21*введение!C$18</f>
        <v>0</v>
      </c>
      <c r="AB21" s="135">
        <f>Z21*введение!C$22</f>
        <v>0</v>
      </c>
      <c r="AC21" s="135"/>
    </row>
    <row r="22" spans="1:29" x14ac:dyDescent="0.25">
      <c r="A22" s="94">
        <v>9</v>
      </c>
      <c r="B22" s="94"/>
      <c r="C22" s="94"/>
      <c r="D22" s="94"/>
      <c r="E22" s="102">
        <f>IF(C22=3,0,IF((D22-O22)&gt;введение!C$11,введение!C$11,IF((D22-O22)&lt;=введение!C$11,D22-O22,0)))</f>
        <v>0</v>
      </c>
      <c r="F22" s="147">
        <f t="shared" si="0"/>
        <v>0</v>
      </c>
      <c r="G22" s="147"/>
      <c r="H22" s="150"/>
      <c r="I22" s="135">
        <f t="shared" si="1"/>
        <v>0</v>
      </c>
      <c r="J22" s="149">
        <f>IF(C22=0,0,IF(C22&gt;1,0,IF(D22&lt;=введение!C$20*25,I22/100,I22/10)))</f>
        <v>0</v>
      </c>
      <c r="K22" s="149">
        <f>IF(C22=0,0,IF(C22=1,0,IF(C22=3,I22/10,IF(C22=2,IF(D22&lt;=введение!C$20*25,I22/100,I22/10)))))</f>
        <v>0</v>
      </c>
      <c r="L22" s="95"/>
      <c r="M22" s="21">
        <f t="shared" si="2"/>
        <v>0</v>
      </c>
      <c r="N22" s="95"/>
      <c r="O22" s="21">
        <f t="shared" si="3"/>
        <v>0</v>
      </c>
      <c r="P22" s="95"/>
      <c r="Q22" s="21">
        <f t="shared" si="4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5"/>
        <v>0</v>
      </c>
      <c r="V22" s="21">
        <f t="shared" si="6"/>
        <v>0</v>
      </c>
      <c r="W22" s="95"/>
      <c r="X22" s="131">
        <f>IF(C22=3,0,IF(D22&lt;=введение!C$20*25,0,0))</f>
        <v>0</v>
      </c>
      <c r="Y22" s="135">
        <f t="shared" si="7"/>
        <v>0</v>
      </c>
      <c r="Z22" s="135">
        <f>IF(OR(Y22&lt;=0,),0,MIN(MIN(введение!$C$17,Y22),введение!$C$17))</f>
        <v>0</v>
      </c>
      <c r="AA22" s="135">
        <f>Z22*введение!C$18</f>
        <v>0</v>
      </c>
      <c r="AB22" s="135">
        <f>Z22*введение!C$22</f>
        <v>0</v>
      </c>
      <c r="AC22" s="135"/>
    </row>
    <row r="23" spans="1:29" x14ac:dyDescent="0.25">
      <c r="A23" s="94">
        <v>10</v>
      </c>
      <c r="B23" s="94"/>
      <c r="C23" s="94"/>
      <c r="D23" s="94"/>
      <c r="E23" s="102">
        <f>IF(C23=3,0,IF((D23-O23)&gt;введение!C$11,введение!C$11,IF((D23-O23)&lt;=введение!C$11,D23-O23,0)))</f>
        <v>0</v>
      </c>
      <c r="F23" s="147">
        <f t="shared" si="0"/>
        <v>0</v>
      </c>
      <c r="G23" s="147"/>
      <c r="H23" s="150"/>
      <c r="I23" s="135">
        <f t="shared" si="1"/>
        <v>0</v>
      </c>
      <c r="J23" s="149">
        <f>IF(C23=0,0,IF(C23&gt;1,0,IF(D23&lt;=введение!C$20*25,I23/100,I23/10)))</f>
        <v>0</v>
      </c>
      <c r="K23" s="149">
        <f>IF(C23=0,0,IF(C23=1,0,IF(C23=3,I23/10,IF(C23=2,IF(D23&lt;=введение!C$20*25,I23/100,I23/10)))))</f>
        <v>0</v>
      </c>
      <c r="L23" s="95"/>
      <c r="M23" s="21">
        <f t="shared" si="2"/>
        <v>0</v>
      </c>
      <c r="N23" s="95"/>
      <c r="O23" s="21">
        <f t="shared" si="3"/>
        <v>0</v>
      </c>
      <c r="P23" s="95"/>
      <c r="Q23" s="21">
        <f t="shared" si="4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5"/>
        <v>0</v>
      </c>
      <c r="V23" s="21">
        <f t="shared" si="6"/>
        <v>0</v>
      </c>
      <c r="W23" s="95"/>
      <c r="X23" s="131">
        <f>IF(C23=3,0,IF(D23&lt;=введение!C$20*25,0,0))</f>
        <v>0</v>
      </c>
      <c r="Y23" s="135">
        <f t="shared" si="7"/>
        <v>0</v>
      </c>
      <c r="Z23" s="135">
        <f>IF(OR(Y23&lt;=0,),0,MIN(MIN(введение!$C$17,Y23),введение!$C$17))</f>
        <v>0</v>
      </c>
      <c r="AA23" s="135">
        <f>Z23*введение!C$18</f>
        <v>0</v>
      </c>
      <c r="AB23" s="135">
        <f>Z23*введение!C$22</f>
        <v>0</v>
      </c>
      <c r="AC23" s="135"/>
    </row>
    <row r="24" spans="1:29" x14ac:dyDescent="0.25">
      <c r="A24" s="94">
        <v>11</v>
      </c>
      <c r="B24" s="94"/>
      <c r="C24" s="94"/>
      <c r="D24" s="94"/>
      <c r="E24" s="102">
        <f>IF(C24=3,0,IF((D24-O24)&gt;введение!C$11,введение!C$11,IF((D24-O24)&lt;=введение!C$11,D24-O24,0)))</f>
        <v>0</v>
      </c>
      <c r="F24" s="147">
        <f t="shared" si="0"/>
        <v>0</v>
      </c>
      <c r="G24" s="147"/>
      <c r="H24" s="150"/>
      <c r="I24" s="135">
        <f t="shared" si="1"/>
        <v>0</v>
      </c>
      <c r="J24" s="149">
        <f>IF(C24=0,0,IF(C24&gt;1,0,IF(D24&lt;=введение!C$20*25,I24/100,I24/10)))</f>
        <v>0</v>
      </c>
      <c r="K24" s="149">
        <f>IF(C24=0,0,IF(C24=1,0,IF(C24=3,I24/10,IF(C24=2,IF(D24&lt;=введение!C$20*25,I24/100,I24/10)))))</f>
        <v>0</v>
      </c>
      <c r="L24" s="95"/>
      <c r="M24" s="21">
        <f t="shared" si="2"/>
        <v>0</v>
      </c>
      <c r="N24" s="95"/>
      <c r="O24" s="21">
        <f t="shared" si="3"/>
        <v>0</v>
      </c>
      <c r="P24" s="95"/>
      <c r="Q24" s="21">
        <f t="shared" si="4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5"/>
        <v>0</v>
      </c>
      <c r="V24" s="21">
        <f t="shared" si="6"/>
        <v>0</v>
      </c>
      <c r="W24" s="95"/>
      <c r="X24" s="131">
        <f>IF(C24=3,0,IF(D24&lt;=введение!C$20*25,0,0))</f>
        <v>0</v>
      </c>
      <c r="Y24" s="135">
        <f t="shared" si="7"/>
        <v>0</v>
      </c>
      <c r="Z24" s="135">
        <f>IF(OR(Y24&lt;=0,),0,MIN(MIN(введение!$C$17,Y24),введение!$C$17))</f>
        <v>0</v>
      </c>
      <c r="AA24" s="135">
        <f>Z24*введение!C$18</f>
        <v>0</v>
      </c>
      <c r="AB24" s="135">
        <f>Z24*введение!C$22</f>
        <v>0</v>
      </c>
      <c r="AC24" s="135"/>
    </row>
    <row r="25" spans="1:29" x14ac:dyDescent="0.25">
      <c r="A25" s="94">
        <v>12</v>
      </c>
      <c r="B25" s="94"/>
      <c r="C25" s="94"/>
      <c r="D25" s="94"/>
      <c r="E25" s="102">
        <f>IF(C25=3,0,IF((D25-O25)&gt;введение!C$11,введение!C$11,IF((D25-O25)&lt;=введение!C$11,D25-O25,0)))</f>
        <v>0</v>
      </c>
      <c r="F25" s="147">
        <f t="shared" si="0"/>
        <v>0</v>
      </c>
      <c r="G25" s="147"/>
      <c r="H25" s="150"/>
      <c r="I25" s="135">
        <f t="shared" si="1"/>
        <v>0</v>
      </c>
      <c r="J25" s="149">
        <f>IF(C25=0,0,IF(C25&gt;1,0,IF(D25&lt;=введение!C$20*25,I25/100,I25/10)))</f>
        <v>0</v>
      </c>
      <c r="K25" s="149">
        <f>IF(C25=0,0,IF(C25=1,0,IF(C25=3,I25/10,IF(C25=2,IF(D25&lt;=введение!C$20*25,I25/100,I25/10)))))</f>
        <v>0</v>
      </c>
      <c r="L25" s="95"/>
      <c r="M25" s="21">
        <f t="shared" si="2"/>
        <v>0</v>
      </c>
      <c r="N25" s="95"/>
      <c r="O25" s="21">
        <f t="shared" si="3"/>
        <v>0</v>
      </c>
      <c r="P25" s="95"/>
      <c r="Q25" s="21">
        <f t="shared" si="4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5"/>
        <v>0</v>
      </c>
      <c r="V25" s="21">
        <f t="shared" si="6"/>
        <v>0</v>
      </c>
      <c r="W25" s="95"/>
      <c r="X25" s="131">
        <f>IF(C25=3,0,IF(D25&lt;=введение!C$20*25,0,0))</f>
        <v>0</v>
      </c>
      <c r="Y25" s="135">
        <f t="shared" si="7"/>
        <v>0</v>
      </c>
      <c r="Z25" s="135">
        <f>IF(OR(Y25&lt;=0,),0,MIN(MIN(введение!$C$17,Y25),введение!$C$17))</f>
        <v>0</v>
      </c>
      <c r="AA25" s="135">
        <f>Z25*введение!C$18</f>
        <v>0</v>
      </c>
      <c r="AB25" s="135">
        <f>Z25*введение!C$22</f>
        <v>0</v>
      </c>
      <c r="AC25" s="135"/>
    </row>
    <row r="26" spans="1:29" x14ac:dyDescent="0.25">
      <c r="A26" s="325" t="s">
        <v>73</v>
      </c>
      <c r="B26" s="326"/>
      <c r="C26" s="90"/>
      <c r="D26" s="22">
        <f>SUM(D14:D25)</f>
        <v>270000</v>
      </c>
      <c r="E26" s="22">
        <f t="shared" ref="E26:U26" si="8">SUM(E14:E25)</f>
        <v>85000</v>
      </c>
      <c r="F26" s="136">
        <f t="shared" si="8"/>
        <v>1900</v>
      </c>
      <c r="G26" s="136">
        <f t="shared" si="8"/>
        <v>0</v>
      </c>
      <c r="H26" s="136">
        <f t="shared" si="8"/>
        <v>0</v>
      </c>
      <c r="I26" s="136">
        <f t="shared" si="8"/>
        <v>164100</v>
      </c>
      <c r="J26" s="136">
        <f t="shared" si="8"/>
        <v>5540</v>
      </c>
      <c r="K26" s="136">
        <f t="shared" si="8"/>
        <v>10870</v>
      </c>
      <c r="L26" s="22">
        <f t="shared" si="8"/>
        <v>0</v>
      </c>
      <c r="M26" s="22">
        <f t="shared" si="8"/>
        <v>190000</v>
      </c>
      <c r="N26" s="22">
        <f>SUM(N14:N25)</f>
        <v>0</v>
      </c>
      <c r="O26" s="22">
        <f>SUM(O14:O25)</f>
        <v>19000</v>
      </c>
      <c r="P26" s="22">
        <f t="shared" si="8"/>
        <v>0</v>
      </c>
      <c r="Q26" s="22">
        <f t="shared" si="8"/>
        <v>171000</v>
      </c>
      <c r="R26" s="22">
        <f t="shared" si="8"/>
        <v>171000</v>
      </c>
      <c r="S26" s="22">
        <f>SUM(S14:S25)</f>
        <v>5985</v>
      </c>
      <c r="T26" s="22">
        <f t="shared" si="8"/>
        <v>0</v>
      </c>
      <c r="U26" s="22">
        <f t="shared" si="8"/>
        <v>0</v>
      </c>
      <c r="V26" s="22">
        <f t="shared" ref="V26:AB26" si="9">SUM(V14:V25)</f>
        <v>3</v>
      </c>
      <c r="W26" s="22">
        <f t="shared" si="9"/>
        <v>0</v>
      </c>
      <c r="X26" s="136">
        <f t="shared" si="9"/>
        <v>0</v>
      </c>
      <c r="Y26" s="136">
        <f t="shared" si="9"/>
        <v>190000</v>
      </c>
      <c r="Z26" s="136">
        <f t="shared" si="9"/>
        <v>190000</v>
      </c>
      <c r="AA26" s="136">
        <f t="shared" si="9"/>
        <v>3800</v>
      </c>
      <c r="AB26" s="136">
        <f t="shared" si="9"/>
        <v>1900</v>
      </c>
      <c r="AC26" s="137">
        <f>IF(D26&gt;0,D26/V26,0)</f>
        <v>90000</v>
      </c>
    </row>
    <row r="27" spans="1:29" x14ac:dyDescent="0.25">
      <c r="A27" s="43"/>
      <c r="B27" s="43"/>
      <c r="C27" s="44"/>
      <c r="D27" s="44"/>
    </row>
    <row r="28" spans="1:29" x14ac:dyDescent="0.25">
      <c r="A28" s="45" t="s">
        <v>62</v>
      </c>
      <c r="B28" s="37"/>
      <c r="C28"/>
      <c r="D28"/>
    </row>
    <row r="29" spans="1:29" x14ac:dyDescent="0.25">
      <c r="A29" s="37"/>
      <c r="B29" s="37"/>
      <c r="C29"/>
      <c r="D29"/>
    </row>
    <row r="30" spans="1:29" x14ac:dyDescent="0.25">
      <c r="A30" s="43"/>
      <c r="B30" s="43"/>
      <c r="C30" s="44"/>
      <c r="D30" s="44"/>
    </row>
    <row r="31" spans="1:29" x14ac:dyDescent="0.25">
      <c r="A31" s="45" t="s">
        <v>63</v>
      </c>
      <c r="B31" s="37"/>
      <c r="C31"/>
      <c r="D31"/>
    </row>
    <row r="32" spans="1:29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Y39"/>
  <sheetViews>
    <sheetView topLeftCell="A10" workbookViewId="0">
      <selection activeCell="A15" sqref="A15"/>
    </sheetView>
  </sheetViews>
  <sheetFormatPr defaultColWidth="8.7109375" defaultRowHeight="15" x14ac:dyDescent="0.25"/>
  <cols>
    <col min="1" max="1" width="5.85546875" style="17" customWidth="1"/>
    <col min="2" max="2" width="33.85546875" style="17" customWidth="1"/>
    <col min="3" max="3" width="16.85546875" style="17" customWidth="1"/>
    <col min="4" max="4" width="9.28515625" style="17" customWidth="1"/>
    <col min="5" max="5" width="16" style="17" customWidth="1"/>
    <col min="6" max="8" width="12" style="17" customWidth="1"/>
    <col min="9" max="9" width="12.140625" style="17" customWidth="1"/>
    <col min="10" max="10" width="12.85546875" style="17" customWidth="1"/>
    <col min="11" max="11" width="18.85546875" style="17" customWidth="1"/>
    <col min="12" max="12" width="17.28515625" style="17" customWidth="1"/>
    <col min="13" max="13" width="11.85546875" style="17" customWidth="1"/>
    <col min="14" max="25" width="13.5703125" style="17" customWidth="1"/>
    <col min="26" max="16384" width="8.7109375" style="17"/>
  </cols>
  <sheetData>
    <row r="2" spans="1:25" x14ac:dyDescent="0.25">
      <c r="E2" s="18" t="s">
        <v>14</v>
      </c>
      <c r="L2" s="19"/>
      <c r="M2" s="19"/>
    </row>
    <row r="3" spans="1:25" x14ac:dyDescent="0.25">
      <c r="A3" s="20"/>
      <c r="B3" s="20"/>
      <c r="C3" s="20"/>
      <c r="D3" s="20"/>
      <c r="E3" s="20"/>
    </row>
    <row r="4" spans="1:25" x14ac:dyDescent="0.25">
      <c r="A4" s="58" t="s">
        <v>67</v>
      </c>
      <c r="B4" s="44"/>
      <c r="C4" s="58"/>
      <c r="D4" s="58"/>
      <c r="E4" s="58"/>
    </row>
    <row r="5" spans="1:25" x14ac:dyDescent="0.25">
      <c r="A5" s="36"/>
      <c r="B5" s="36"/>
      <c r="C5" s="36"/>
      <c r="D5" s="36"/>
      <c r="E5" s="36"/>
    </row>
    <row r="6" spans="1:25" x14ac:dyDescent="0.25">
      <c r="A6" s="36">
        <v>1</v>
      </c>
      <c r="B6" s="58" t="s">
        <v>68</v>
      </c>
      <c r="C6" s="58"/>
      <c r="D6" s="58"/>
      <c r="E6" s="58"/>
    </row>
    <row r="7" spans="1:25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</row>
    <row r="8" spans="1:25" x14ac:dyDescent="0.25">
      <c r="A8" s="36">
        <v>3</v>
      </c>
      <c r="B8" s="58" t="s">
        <v>135</v>
      </c>
      <c r="C8" s="58"/>
      <c r="D8" s="58"/>
      <c r="E8" s="58"/>
      <c r="F8" s="17">
        <f>'№ 910 Декларация '!L12</f>
        <v>2</v>
      </c>
      <c r="I8" s="17">
        <f>'№ 910 Декларация '!O12</f>
        <v>2020</v>
      </c>
      <c r="J8" s="17" t="s">
        <v>136</v>
      </c>
    </row>
    <row r="9" spans="1:25" x14ac:dyDescent="0.25">
      <c r="A9" s="50"/>
      <c r="B9" s="50"/>
      <c r="C9" s="50"/>
      <c r="D9" s="50"/>
      <c r="E9" s="50"/>
      <c r="F9" s="50"/>
      <c r="G9" s="50"/>
      <c r="H9" s="50"/>
    </row>
    <row r="10" spans="1:25" ht="43.5" customHeight="1" x14ac:dyDescent="0.25">
      <c r="A10" s="324" t="s">
        <v>176</v>
      </c>
      <c r="B10" s="324"/>
      <c r="C10" s="324"/>
      <c r="D10" s="324"/>
      <c r="E10" s="324"/>
      <c r="F10" s="324"/>
      <c r="G10" s="324"/>
      <c r="H10" s="324"/>
      <c r="I10" s="324"/>
    </row>
    <row r="11" spans="1:25" x14ac:dyDescent="0.25">
      <c r="A11" s="50"/>
      <c r="B11" s="50"/>
      <c r="C11" s="50"/>
      <c r="D11" s="50"/>
      <c r="E11" s="50"/>
    </row>
    <row r="12" spans="1:25" x14ac:dyDescent="0.25">
      <c r="A12" s="50"/>
      <c r="B12" s="50"/>
      <c r="C12" s="50"/>
      <c r="D12" s="50"/>
      <c r="E12" s="50"/>
    </row>
    <row r="13" spans="1:25" ht="114.75" x14ac:dyDescent="0.25">
      <c r="A13" s="60" t="s">
        <v>69</v>
      </c>
      <c r="B13" s="39" t="s">
        <v>137</v>
      </c>
      <c r="C13" s="39" t="s">
        <v>132</v>
      </c>
      <c r="D13" s="39" t="s">
        <v>139</v>
      </c>
      <c r="E13" s="39" t="s">
        <v>177</v>
      </c>
      <c r="F13" s="60" t="s">
        <v>76</v>
      </c>
      <c r="G13" s="39" t="s">
        <v>267</v>
      </c>
      <c r="H13" s="39" t="s">
        <v>268</v>
      </c>
      <c r="I13" s="60" t="s">
        <v>77</v>
      </c>
      <c r="J13" s="39" t="s">
        <v>169</v>
      </c>
      <c r="K13" s="39" t="s">
        <v>133</v>
      </c>
      <c r="L13" s="39" t="s">
        <v>134</v>
      </c>
      <c r="M13" s="39" t="s">
        <v>138</v>
      </c>
      <c r="N13" s="39" t="s">
        <v>133</v>
      </c>
      <c r="O13" s="39" t="s">
        <v>134</v>
      </c>
      <c r="P13" s="39" t="s">
        <v>133</v>
      </c>
      <c r="Q13" s="39" t="s">
        <v>134</v>
      </c>
      <c r="R13" s="39" t="s">
        <v>133</v>
      </c>
      <c r="S13" s="39" t="s">
        <v>134</v>
      </c>
      <c r="T13" s="39" t="s">
        <v>133</v>
      </c>
      <c r="U13" s="39" t="s">
        <v>134</v>
      </c>
      <c r="V13" s="39" t="s">
        <v>133</v>
      </c>
      <c r="W13" s="39" t="s">
        <v>134</v>
      </c>
      <c r="X13" s="39" t="s">
        <v>133</v>
      </c>
      <c r="Y13" s="39" t="s">
        <v>183</v>
      </c>
    </row>
    <row r="14" spans="1:25" x14ac:dyDescent="0.25">
      <c r="A14" s="60"/>
      <c r="B14" s="39"/>
      <c r="C14" s="39"/>
      <c r="D14" s="39"/>
      <c r="E14" s="39"/>
      <c r="F14" s="60"/>
      <c r="G14" s="60"/>
      <c r="H14" s="60"/>
      <c r="I14" s="60"/>
      <c r="J14" s="39"/>
      <c r="K14" s="39"/>
      <c r="L14" s="39"/>
      <c r="M14" s="39"/>
      <c r="N14" s="327" t="str">
        <f>IF('№ 910 Декларация '!L12=1,"январь","июль")</f>
        <v>июль</v>
      </c>
      <c r="O14" s="327"/>
      <c r="P14" s="327" t="str">
        <f>IF('№ 910 Декларация '!L12=1,"февраль","август")</f>
        <v>август</v>
      </c>
      <c r="Q14" s="327"/>
      <c r="R14" s="327" t="str">
        <f>IF('№ 910 Декларация '!L12=1,"март","сентябрь")</f>
        <v>сентябрь</v>
      </c>
      <c r="S14" s="327"/>
      <c r="T14" s="327" t="str">
        <f>IF('№ 910 Декларация '!L12=1,"апрель","октябрь")</f>
        <v>октябрь</v>
      </c>
      <c r="U14" s="327"/>
      <c r="V14" s="327" t="str">
        <f>IF('№ 910 Декларация '!L12=1,"май","ноябрь")</f>
        <v>ноябрь</v>
      </c>
      <c r="W14" s="327"/>
      <c r="X14" s="327" t="str">
        <f>IF('№ 910 Декларация '!L12=1,"июнь","декабрь")</f>
        <v>декабрь</v>
      </c>
      <c r="Y14" s="327"/>
    </row>
    <row r="15" spans="1:25" x14ac:dyDescent="0.25">
      <c r="A15" s="94">
        <v>1</v>
      </c>
      <c r="B15" s="94" t="s">
        <v>263</v>
      </c>
      <c r="C15" s="94">
        <v>1</v>
      </c>
      <c r="D15" s="94">
        <v>4</v>
      </c>
      <c r="E15" s="94">
        <v>20000</v>
      </c>
      <c r="F15" s="95">
        <v>0</v>
      </c>
      <c r="G15" s="95">
        <f>'№ 4 договора ГПХ'!I3+'№ 4 договора ГПХ'!K3+'№ 4 договора ГПХ'!M3+'№ 4 договора ГПХ'!O3+'№ 4 договора ГПХ'!Q3+'№ 4 договора ГПХ'!S3</f>
        <v>1000</v>
      </c>
      <c r="H15" s="95">
        <f>'№ 4 договора ГПХ'!J3+'№ 4 договора ГПХ'!L3+'№ 4 договора ГПХ'!N3+'№ 4 договора ГПХ'!P3+'№ 4 договора ГПХ'!R3+'№ 4 договора ГПХ'!T3</f>
        <v>200</v>
      </c>
      <c r="I15" s="21">
        <f>E15-F15-G15-H15</f>
        <v>18800</v>
      </c>
      <c r="J15" s="96">
        <f t="shared" ref="J15:J26" si="0">IF(E15&lt;=0,0,IF(C15=3,20%,10%))</f>
        <v>0.1</v>
      </c>
      <c r="K15" s="21">
        <f>IF(C15=1,I15*J15,0)</f>
        <v>1880</v>
      </c>
      <c r="L15" s="21">
        <f>IF(C15=3,E15*J15,IF(C15=2,I15*J15,0))</f>
        <v>0</v>
      </c>
      <c r="M15" s="21">
        <f t="shared" ref="M15:M26" si="1">IF(D15&gt;6,D15-6,D15)</f>
        <v>4</v>
      </c>
      <c r="N15" s="21">
        <f>IF($M15=1,$K15,0)</f>
        <v>0</v>
      </c>
      <c r="O15" s="21">
        <f>IF($M15=1,$L15,0)</f>
        <v>0</v>
      </c>
      <c r="P15" s="21">
        <f>IF($M15=2,$K15,0)</f>
        <v>0</v>
      </c>
      <c r="Q15" s="21">
        <f>IF($M15=2,$L15,0)</f>
        <v>0</v>
      </c>
      <c r="R15" s="21">
        <f>IF($M15=3,$K15,0)</f>
        <v>0</v>
      </c>
      <c r="S15" s="21">
        <f>IF($M15=3,$L15,0)</f>
        <v>0</v>
      </c>
      <c r="T15" s="21">
        <f>IF($M15=4,$K15,0)</f>
        <v>1880</v>
      </c>
      <c r="U15" s="21">
        <f>IF($M15=4,$L15,0)</f>
        <v>0</v>
      </c>
      <c r="V15" s="21">
        <f>IF($M15=5,$K15,0)</f>
        <v>0</v>
      </c>
      <c r="W15" s="21">
        <f>IF($M15=5,$L15,0)</f>
        <v>0</v>
      </c>
      <c r="X15" s="21">
        <f>IF($M15=6,$K15,0)</f>
        <v>0</v>
      </c>
      <c r="Y15" s="21">
        <f>IF($M15=6,$L15,0)</f>
        <v>0</v>
      </c>
    </row>
    <row r="16" spans="1:25" x14ac:dyDescent="0.25">
      <c r="A16" s="94">
        <v>2</v>
      </c>
      <c r="B16" s="94"/>
      <c r="C16" s="94"/>
      <c r="D16" s="94"/>
      <c r="E16" s="94"/>
      <c r="F16" s="95"/>
      <c r="G16" s="95">
        <f>'№ 4 договора ГПХ'!I4+'№ 4 договора ГПХ'!K4+'№ 4 договора ГПХ'!M4+'№ 4 договора ГПХ'!O4+'№ 4 договора ГПХ'!Q4+'№ 4 договора ГПХ'!S4</f>
        <v>0</v>
      </c>
      <c r="H16" s="95">
        <f>'№ 4 договора ГПХ'!J4+'№ 4 договора ГПХ'!L4+'№ 4 договора ГПХ'!N4+'№ 4 договора ГПХ'!P4+'№ 4 договора ГПХ'!R4+'№ 4 договора ГПХ'!T4</f>
        <v>0</v>
      </c>
      <c r="I16" s="21">
        <f t="shared" ref="I16:I26" si="2">E16-F16-G16-H16</f>
        <v>0</v>
      </c>
      <c r="J16" s="96">
        <f t="shared" si="0"/>
        <v>0</v>
      </c>
      <c r="K16" s="21">
        <f t="shared" ref="K16:K26" si="3">IF(C16=1,I16*J16,0)</f>
        <v>0</v>
      </c>
      <c r="L16" s="21">
        <f t="shared" ref="L16:L26" si="4">IF(C16=3,E16*J16,IF(C16=2,I16*J16,0))</f>
        <v>0</v>
      </c>
      <c r="M16" s="21">
        <f t="shared" si="1"/>
        <v>0</v>
      </c>
      <c r="N16" s="21">
        <f t="shared" ref="N16:N26" si="5">IF($M16=1,$K16,0)</f>
        <v>0</v>
      </c>
      <c r="O16" s="21">
        <f t="shared" ref="O16:O26" si="6">IF($M16=1,$L16,0)</f>
        <v>0</v>
      </c>
      <c r="P16" s="21">
        <f t="shared" ref="P16:P26" si="7">IF($M16=2,$K16,0)</f>
        <v>0</v>
      </c>
      <c r="Q16" s="21">
        <f t="shared" ref="Q16:Q26" si="8">IF($M16=2,$L16,0)</f>
        <v>0</v>
      </c>
      <c r="R16" s="21">
        <f t="shared" ref="R16:R26" si="9">IF($M16=3,$K16,0)</f>
        <v>0</v>
      </c>
      <c r="S16" s="21">
        <f t="shared" ref="S16:S26" si="10">IF($M16=3,$L16,0)</f>
        <v>0</v>
      </c>
      <c r="T16" s="21">
        <f t="shared" ref="T16:T26" si="11">IF($M16=4,$K16,0)</f>
        <v>0</v>
      </c>
      <c r="U16" s="21">
        <f t="shared" ref="U16:U26" si="12">IF($M16=4,$L16,0)</f>
        <v>0</v>
      </c>
      <c r="V16" s="21">
        <f t="shared" ref="V16:V26" si="13">IF($M16=5,$K16,0)</f>
        <v>0</v>
      </c>
      <c r="W16" s="21">
        <f t="shared" ref="W16:W26" si="14">IF($M16=5,$L16,0)</f>
        <v>0</v>
      </c>
      <c r="X16" s="21">
        <f t="shared" ref="X16:X26" si="15">IF($M16=6,$K16,0)</f>
        <v>0</v>
      </c>
      <c r="Y16" s="21">
        <f t="shared" ref="Y16:Y26" si="16">IF($M16=6,$L16,0)</f>
        <v>0</v>
      </c>
    </row>
    <row r="17" spans="1:25" x14ac:dyDescent="0.25">
      <c r="A17" s="94">
        <v>3</v>
      </c>
      <c r="B17" s="94"/>
      <c r="C17" s="94"/>
      <c r="D17" s="94"/>
      <c r="E17" s="94"/>
      <c r="F17" s="95"/>
      <c r="G17" s="95">
        <f>'№ 4 договора ГПХ'!I5+'№ 4 договора ГПХ'!K5+'№ 4 договора ГПХ'!M5+'№ 4 договора ГПХ'!O5+'№ 4 договора ГПХ'!Q5+'№ 4 договора ГПХ'!S5</f>
        <v>0</v>
      </c>
      <c r="H17" s="95">
        <f>'№ 4 договора ГПХ'!J5+'№ 4 договора ГПХ'!L5+'№ 4 договора ГПХ'!N5+'№ 4 договора ГПХ'!P5+'№ 4 договора ГПХ'!R5+'№ 4 договора ГПХ'!T5</f>
        <v>0</v>
      </c>
      <c r="I17" s="21">
        <f t="shared" si="2"/>
        <v>0</v>
      </c>
      <c r="J17" s="96">
        <f t="shared" si="0"/>
        <v>0</v>
      </c>
      <c r="K17" s="21">
        <f t="shared" si="3"/>
        <v>0</v>
      </c>
      <c r="L17" s="21">
        <f t="shared" si="4"/>
        <v>0</v>
      </c>
      <c r="M17" s="21">
        <f t="shared" si="1"/>
        <v>0</v>
      </c>
      <c r="N17" s="21">
        <f t="shared" si="5"/>
        <v>0</v>
      </c>
      <c r="O17" s="21">
        <f t="shared" si="6"/>
        <v>0</v>
      </c>
      <c r="P17" s="21">
        <f t="shared" si="7"/>
        <v>0</v>
      </c>
      <c r="Q17" s="21">
        <f t="shared" si="8"/>
        <v>0</v>
      </c>
      <c r="R17" s="21">
        <f t="shared" si="9"/>
        <v>0</v>
      </c>
      <c r="S17" s="21">
        <f t="shared" si="10"/>
        <v>0</v>
      </c>
      <c r="T17" s="21">
        <f t="shared" si="11"/>
        <v>0</v>
      </c>
      <c r="U17" s="21">
        <f t="shared" si="12"/>
        <v>0</v>
      </c>
      <c r="V17" s="21">
        <f t="shared" si="13"/>
        <v>0</v>
      </c>
      <c r="W17" s="21">
        <f t="shared" si="14"/>
        <v>0</v>
      </c>
      <c r="X17" s="21">
        <f t="shared" si="15"/>
        <v>0</v>
      </c>
      <c r="Y17" s="21">
        <f t="shared" si="16"/>
        <v>0</v>
      </c>
    </row>
    <row r="18" spans="1:25" x14ac:dyDescent="0.25">
      <c r="A18" s="94">
        <v>4</v>
      </c>
      <c r="B18" s="94"/>
      <c r="C18" s="94"/>
      <c r="D18" s="94"/>
      <c r="E18" s="94"/>
      <c r="F18" s="95"/>
      <c r="G18" s="95">
        <f>'№ 4 договора ГПХ'!I6+'№ 4 договора ГПХ'!K6+'№ 4 договора ГПХ'!M6+'№ 4 договора ГПХ'!O6+'№ 4 договора ГПХ'!Q6+'№ 4 договора ГПХ'!S6</f>
        <v>0</v>
      </c>
      <c r="H18" s="95">
        <f>'№ 4 договора ГПХ'!J6+'№ 4 договора ГПХ'!L6+'№ 4 договора ГПХ'!N6+'№ 4 договора ГПХ'!P6+'№ 4 договора ГПХ'!R6+'№ 4 договора ГПХ'!T6</f>
        <v>0</v>
      </c>
      <c r="I18" s="21">
        <f t="shared" si="2"/>
        <v>0</v>
      </c>
      <c r="J18" s="96">
        <f t="shared" si="0"/>
        <v>0</v>
      </c>
      <c r="K18" s="21">
        <f t="shared" si="3"/>
        <v>0</v>
      </c>
      <c r="L18" s="21">
        <f t="shared" si="4"/>
        <v>0</v>
      </c>
      <c r="M18" s="21">
        <f t="shared" si="1"/>
        <v>0</v>
      </c>
      <c r="N18" s="21">
        <f t="shared" si="5"/>
        <v>0</v>
      </c>
      <c r="O18" s="21">
        <f t="shared" si="6"/>
        <v>0</v>
      </c>
      <c r="P18" s="21">
        <f t="shared" si="7"/>
        <v>0</v>
      </c>
      <c r="Q18" s="21">
        <f t="shared" si="8"/>
        <v>0</v>
      </c>
      <c r="R18" s="21">
        <f t="shared" si="9"/>
        <v>0</v>
      </c>
      <c r="S18" s="21">
        <f t="shared" si="10"/>
        <v>0</v>
      </c>
      <c r="T18" s="21">
        <f t="shared" si="11"/>
        <v>0</v>
      </c>
      <c r="U18" s="21">
        <f t="shared" si="12"/>
        <v>0</v>
      </c>
      <c r="V18" s="21">
        <f t="shared" si="13"/>
        <v>0</v>
      </c>
      <c r="W18" s="21">
        <f t="shared" si="14"/>
        <v>0</v>
      </c>
      <c r="X18" s="21">
        <f t="shared" si="15"/>
        <v>0</v>
      </c>
      <c r="Y18" s="21">
        <f t="shared" si="16"/>
        <v>0</v>
      </c>
    </row>
    <row r="19" spans="1:25" x14ac:dyDescent="0.25">
      <c r="A19" s="94">
        <v>5</v>
      </c>
      <c r="B19" s="94"/>
      <c r="C19" s="94"/>
      <c r="D19" s="94"/>
      <c r="E19" s="94"/>
      <c r="F19" s="95"/>
      <c r="G19" s="95">
        <f>'№ 4 договора ГПХ'!I7+'№ 4 договора ГПХ'!K7+'№ 4 договора ГПХ'!M7+'№ 4 договора ГПХ'!O7+'№ 4 договора ГПХ'!Q7+'№ 4 договора ГПХ'!S7</f>
        <v>0</v>
      </c>
      <c r="H19" s="95">
        <f>'№ 4 договора ГПХ'!J7+'№ 4 договора ГПХ'!L7+'№ 4 договора ГПХ'!N7+'№ 4 договора ГПХ'!P7+'№ 4 договора ГПХ'!R7+'№ 4 договора ГПХ'!T7</f>
        <v>0</v>
      </c>
      <c r="I19" s="21">
        <f t="shared" si="2"/>
        <v>0</v>
      </c>
      <c r="J19" s="96">
        <f t="shared" si="0"/>
        <v>0</v>
      </c>
      <c r="K19" s="21">
        <f t="shared" si="3"/>
        <v>0</v>
      </c>
      <c r="L19" s="21">
        <f t="shared" si="4"/>
        <v>0</v>
      </c>
      <c r="M19" s="21">
        <f t="shared" si="1"/>
        <v>0</v>
      </c>
      <c r="N19" s="21">
        <f t="shared" si="5"/>
        <v>0</v>
      </c>
      <c r="O19" s="21">
        <f t="shared" si="6"/>
        <v>0</v>
      </c>
      <c r="P19" s="21">
        <f t="shared" si="7"/>
        <v>0</v>
      </c>
      <c r="Q19" s="21">
        <f t="shared" si="8"/>
        <v>0</v>
      </c>
      <c r="R19" s="21">
        <f t="shared" si="9"/>
        <v>0</v>
      </c>
      <c r="S19" s="21">
        <f t="shared" si="10"/>
        <v>0</v>
      </c>
      <c r="T19" s="21">
        <f t="shared" si="11"/>
        <v>0</v>
      </c>
      <c r="U19" s="21">
        <f t="shared" si="12"/>
        <v>0</v>
      </c>
      <c r="V19" s="21">
        <f t="shared" si="13"/>
        <v>0</v>
      </c>
      <c r="W19" s="21">
        <f t="shared" si="14"/>
        <v>0</v>
      </c>
      <c r="X19" s="21">
        <f t="shared" si="15"/>
        <v>0</v>
      </c>
      <c r="Y19" s="21">
        <f t="shared" si="16"/>
        <v>0</v>
      </c>
    </row>
    <row r="20" spans="1:25" x14ac:dyDescent="0.25">
      <c r="A20" s="94">
        <v>6</v>
      </c>
      <c r="B20" s="94"/>
      <c r="C20" s="94"/>
      <c r="D20" s="94"/>
      <c r="E20" s="94"/>
      <c r="F20" s="95"/>
      <c r="G20" s="95">
        <f>'№ 4 договора ГПХ'!I8+'№ 4 договора ГПХ'!K8+'№ 4 договора ГПХ'!M8+'№ 4 договора ГПХ'!O8+'№ 4 договора ГПХ'!Q8+'№ 4 договора ГПХ'!S8</f>
        <v>0</v>
      </c>
      <c r="H20" s="95">
        <f>'№ 4 договора ГПХ'!J8+'№ 4 договора ГПХ'!L8+'№ 4 договора ГПХ'!N8+'№ 4 договора ГПХ'!P8+'№ 4 договора ГПХ'!R8+'№ 4 договора ГПХ'!T8</f>
        <v>0</v>
      </c>
      <c r="I20" s="21">
        <f t="shared" si="2"/>
        <v>0</v>
      </c>
      <c r="J20" s="96">
        <f t="shared" si="0"/>
        <v>0</v>
      </c>
      <c r="K20" s="21">
        <f t="shared" si="3"/>
        <v>0</v>
      </c>
      <c r="L20" s="21">
        <f t="shared" si="4"/>
        <v>0</v>
      </c>
      <c r="M20" s="21">
        <f t="shared" si="1"/>
        <v>0</v>
      </c>
      <c r="N20" s="21">
        <f t="shared" si="5"/>
        <v>0</v>
      </c>
      <c r="O20" s="21">
        <f t="shared" si="6"/>
        <v>0</v>
      </c>
      <c r="P20" s="21">
        <f t="shared" si="7"/>
        <v>0</v>
      </c>
      <c r="Q20" s="21">
        <f t="shared" si="8"/>
        <v>0</v>
      </c>
      <c r="R20" s="21">
        <f t="shared" si="9"/>
        <v>0</v>
      </c>
      <c r="S20" s="21">
        <f t="shared" si="10"/>
        <v>0</v>
      </c>
      <c r="T20" s="21">
        <f t="shared" si="11"/>
        <v>0</v>
      </c>
      <c r="U20" s="21">
        <f t="shared" si="12"/>
        <v>0</v>
      </c>
      <c r="V20" s="21">
        <f t="shared" si="13"/>
        <v>0</v>
      </c>
      <c r="W20" s="21">
        <f t="shared" si="14"/>
        <v>0</v>
      </c>
      <c r="X20" s="21">
        <f t="shared" si="15"/>
        <v>0</v>
      </c>
      <c r="Y20" s="21">
        <f t="shared" si="16"/>
        <v>0</v>
      </c>
    </row>
    <row r="21" spans="1:25" x14ac:dyDescent="0.25">
      <c r="A21" s="94">
        <v>7</v>
      </c>
      <c r="B21" s="94"/>
      <c r="C21" s="94"/>
      <c r="D21" s="94"/>
      <c r="E21" s="94"/>
      <c r="F21" s="95"/>
      <c r="G21" s="95">
        <f>'№ 4 договора ГПХ'!I9+'№ 4 договора ГПХ'!K9+'№ 4 договора ГПХ'!M9+'№ 4 договора ГПХ'!O9+'№ 4 договора ГПХ'!Q9+'№ 4 договора ГПХ'!S9</f>
        <v>0</v>
      </c>
      <c r="H21" s="95">
        <f>'№ 4 договора ГПХ'!J9+'№ 4 договора ГПХ'!L9+'№ 4 договора ГПХ'!N9+'№ 4 договора ГПХ'!P9+'№ 4 договора ГПХ'!R9+'№ 4 договора ГПХ'!T9</f>
        <v>0</v>
      </c>
      <c r="I21" s="21">
        <f t="shared" si="2"/>
        <v>0</v>
      </c>
      <c r="J21" s="96">
        <f t="shared" si="0"/>
        <v>0</v>
      </c>
      <c r="K21" s="21">
        <f t="shared" si="3"/>
        <v>0</v>
      </c>
      <c r="L21" s="21">
        <f t="shared" si="4"/>
        <v>0</v>
      </c>
      <c r="M21" s="21">
        <f t="shared" si="1"/>
        <v>0</v>
      </c>
      <c r="N21" s="21">
        <f t="shared" si="5"/>
        <v>0</v>
      </c>
      <c r="O21" s="21">
        <f t="shared" si="6"/>
        <v>0</v>
      </c>
      <c r="P21" s="21">
        <f t="shared" si="7"/>
        <v>0</v>
      </c>
      <c r="Q21" s="21">
        <f t="shared" si="8"/>
        <v>0</v>
      </c>
      <c r="R21" s="21">
        <f t="shared" si="9"/>
        <v>0</v>
      </c>
      <c r="S21" s="21">
        <f t="shared" si="10"/>
        <v>0</v>
      </c>
      <c r="T21" s="21">
        <f t="shared" si="11"/>
        <v>0</v>
      </c>
      <c r="U21" s="21">
        <f t="shared" si="12"/>
        <v>0</v>
      </c>
      <c r="V21" s="21">
        <f t="shared" si="13"/>
        <v>0</v>
      </c>
      <c r="W21" s="21">
        <f t="shared" si="14"/>
        <v>0</v>
      </c>
      <c r="X21" s="21">
        <f t="shared" si="15"/>
        <v>0</v>
      </c>
      <c r="Y21" s="21">
        <f t="shared" si="16"/>
        <v>0</v>
      </c>
    </row>
    <row r="22" spans="1:25" x14ac:dyDescent="0.25">
      <c r="A22" s="94">
        <v>8</v>
      </c>
      <c r="B22" s="94"/>
      <c r="C22" s="94"/>
      <c r="D22" s="94"/>
      <c r="E22" s="94"/>
      <c r="F22" s="95"/>
      <c r="G22" s="95">
        <f>'№ 4 договора ГПХ'!I10+'№ 4 договора ГПХ'!K10+'№ 4 договора ГПХ'!M10+'№ 4 договора ГПХ'!O10+'№ 4 договора ГПХ'!Q10+'№ 4 договора ГПХ'!S10</f>
        <v>0</v>
      </c>
      <c r="H22" s="95">
        <f>'№ 4 договора ГПХ'!J10+'№ 4 договора ГПХ'!L10+'№ 4 договора ГПХ'!N10+'№ 4 договора ГПХ'!P10+'№ 4 договора ГПХ'!R10+'№ 4 договора ГПХ'!T10</f>
        <v>0</v>
      </c>
      <c r="I22" s="21">
        <f t="shared" si="2"/>
        <v>0</v>
      </c>
      <c r="J22" s="96">
        <f t="shared" si="0"/>
        <v>0</v>
      </c>
      <c r="K22" s="21">
        <f t="shared" si="3"/>
        <v>0</v>
      </c>
      <c r="L22" s="21">
        <f t="shared" si="4"/>
        <v>0</v>
      </c>
      <c r="M22" s="21">
        <f t="shared" si="1"/>
        <v>0</v>
      </c>
      <c r="N22" s="21">
        <f t="shared" si="5"/>
        <v>0</v>
      </c>
      <c r="O22" s="21">
        <f t="shared" si="6"/>
        <v>0</v>
      </c>
      <c r="P22" s="21">
        <f t="shared" si="7"/>
        <v>0</v>
      </c>
      <c r="Q22" s="21">
        <f t="shared" si="8"/>
        <v>0</v>
      </c>
      <c r="R22" s="21">
        <f t="shared" si="9"/>
        <v>0</v>
      </c>
      <c r="S22" s="21">
        <f t="shared" si="10"/>
        <v>0</v>
      </c>
      <c r="T22" s="21">
        <f t="shared" si="11"/>
        <v>0</v>
      </c>
      <c r="U22" s="21">
        <f t="shared" si="12"/>
        <v>0</v>
      </c>
      <c r="V22" s="21">
        <f t="shared" si="13"/>
        <v>0</v>
      </c>
      <c r="W22" s="21">
        <f t="shared" si="14"/>
        <v>0</v>
      </c>
      <c r="X22" s="21">
        <f t="shared" si="15"/>
        <v>0</v>
      </c>
      <c r="Y22" s="21">
        <f t="shared" si="16"/>
        <v>0</v>
      </c>
    </row>
    <row r="23" spans="1:25" x14ac:dyDescent="0.25">
      <c r="A23" s="94">
        <v>9</v>
      </c>
      <c r="B23" s="94"/>
      <c r="C23" s="94"/>
      <c r="D23" s="94"/>
      <c r="E23" s="94"/>
      <c r="F23" s="95"/>
      <c r="G23" s="95">
        <f>'№ 4 договора ГПХ'!I11+'№ 4 договора ГПХ'!K11+'№ 4 договора ГПХ'!M11+'№ 4 договора ГПХ'!O11+'№ 4 договора ГПХ'!Q11+'№ 4 договора ГПХ'!S11</f>
        <v>0</v>
      </c>
      <c r="H23" s="95">
        <f>'№ 4 договора ГПХ'!J11+'№ 4 договора ГПХ'!L11+'№ 4 договора ГПХ'!N11+'№ 4 договора ГПХ'!P11+'№ 4 договора ГПХ'!R11+'№ 4 договора ГПХ'!T11</f>
        <v>0</v>
      </c>
      <c r="I23" s="21">
        <f t="shared" si="2"/>
        <v>0</v>
      </c>
      <c r="J23" s="96">
        <f t="shared" si="0"/>
        <v>0</v>
      </c>
      <c r="K23" s="21">
        <f t="shared" si="3"/>
        <v>0</v>
      </c>
      <c r="L23" s="21">
        <f t="shared" si="4"/>
        <v>0</v>
      </c>
      <c r="M23" s="21">
        <f t="shared" si="1"/>
        <v>0</v>
      </c>
      <c r="N23" s="21">
        <f t="shared" si="5"/>
        <v>0</v>
      </c>
      <c r="O23" s="21">
        <f t="shared" si="6"/>
        <v>0</v>
      </c>
      <c r="P23" s="21">
        <f t="shared" si="7"/>
        <v>0</v>
      </c>
      <c r="Q23" s="21">
        <f t="shared" si="8"/>
        <v>0</v>
      </c>
      <c r="R23" s="21">
        <f t="shared" si="9"/>
        <v>0</v>
      </c>
      <c r="S23" s="21">
        <f t="shared" si="10"/>
        <v>0</v>
      </c>
      <c r="T23" s="21">
        <f t="shared" si="11"/>
        <v>0</v>
      </c>
      <c r="U23" s="21">
        <f t="shared" si="12"/>
        <v>0</v>
      </c>
      <c r="V23" s="21">
        <f t="shared" si="13"/>
        <v>0</v>
      </c>
      <c r="W23" s="21">
        <f t="shared" si="14"/>
        <v>0</v>
      </c>
      <c r="X23" s="21">
        <f t="shared" si="15"/>
        <v>0</v>
      </c>
      <c r="Y23" s="21">
        <f t="shared" si="16"/>
        <v>0</v>
      </c>
    </row>
    <row r="24" spans="1:25" x14ac:dyDescent="0.25">
      <c r="A24" s="94">
        <v>10</v>
      </c>
      <c r="B24" s="94"/>
      <c r="C24" s="94"/>
      <c r="D24" s="94"/>
      <c r="E24" s="94"/>
      <c r="F24" s="95"/>
      <c r="G24" s="95">
        <f>'№ 4 договора ГПХ'!I12+'№ 4 договора ГПХ'!K12+'№ 4 договора ГПХ'!M12+'№ 4 договора ГПХ'!O12+'№ 4 договора ГПХ'!Q12+'№ 4 договора ГПХ'!S12</f>
        <v>0</v>
      </c>
      <c r="H24" s="95">
        <f>'№ 4 договора ГПХ'!J12+'№ 4 договора ГПХ'!L12+'№ 4 договора ГПХ'!N12+'№ 4 договора ГПХ'!P12+'№ 4 договора ГПХ'!R12+'№ 4 договора ГПХ'!T12</f>
        <v>0</v>
      </c>
      <c r="I24" s="21">
        <f t="shared" si="2"/>
        <v>0</v>
      </c>
      <c r="J24" s="96">
        <f t="shared" si="0"/>
        <v>0</v>
      </c>
      <c r="K24" s="21">
        <f t="shared" si="3"/>
        <v>0</v>
      </c>
      <c r="L24" s="21">
        <f t="shared" si="4"/>
        <v>0</v>
      </c>
      <c r="M24" s="21">
        <f t="shared" si="1"/>
        <v>0</v>
      </c>
      <c r="N24" s="21">
        <f t="shared" si="5"/>
        <v>0</v>
      </c>
      <c r="O24" s="21">
        <f t="shared" si="6"/>
        <v>0</v>
      </c>
      <c r="P24" s="21">
        <f t="shared" si="7"/>
        <v>0</v>
      </c>
      <c r="Q24" s="21">
        <f t="shared" si="8"/>
        <v>0</v>
      </c>
      <c r="R24" s="21">
        <f t="shared" si="9"/>
        <v>0</v>
      </c>
      <c r="S24" s="21">
        <f t="shared" si="10"/>
        <v>0</v>
      </c>
      <c r="T24" s="21">
        <f t="shared" si="11"/>
        <v>0</v>
      </c>
      <c r="U24" s="21">
        <f t="shared" si="12"/>
        <v>0</v>
      </c>
      <c r="V24" s="21">
        <f t="shared" si="13"/>
        <v>0</v>
      </c>
      <c r="W24" s="21">
        <f t="shared" si="14"/>
        <v>0</v>
      </c>
      <c r="X24" s="21">
        <f t="shared" si="15"/>
        <v>0</v>
      </c>
      <c r="Y24" s="21">
        <f t="shared" si="16"/>
        <v>0</v>
      </c>
    </row>
    <row r="25" spans="1:25" x14ac:dyDescent="0.25">
      <c r="A25" s="94">
        <v>11</v>
      </c>
      <c r="B25" s="94"/>
      <c r="C25" s="94"/>
      <c r="D25" s="94"/>
      <c r="E25" s="94"/>
      <c r="F25" s="95"/>
      <c r="G25" s="95">
        <f>'№ 4 договора ГПХ'!I13+'№ 4 договора ГПХ'!K13+'№ 4 договора ГПХ'!M13+'№ 4 договора ГПХ'!O13+'№ 4 договора ГПХ'!Q13+'№ 4 договора ГПХ'!S13</f>
        <v>0</v>
      </c>
      <c r="H25" s="95">
        <f>'№ 4 договора ГПХ'!J13+'№ 4 договора ГПХ'!L13+'№ 4 договора ГПХ'!N13+'№ 4 договора ГПХ'!P13+'№ 4 договора ГПХ'!R13+'№ 4 договора ГПХ'!T13</f>
        <v>0</v>
      </c>
      <c r="I25" s="21">
        <f t="shared" si="2"/>
        <v>0</v>
      </c>
      <c r="J25" s="96">
        <f t="shared" si="0"/>
        <v>0</v>
      </c>
      <c r="K25" s="21">
        <f t="shared" si="3"/>
        <v>0</v>
      </c>
      <c r="L25" s="21">
        <f t="shared" si="4"/>
        <v>0</v>
      </c>
      <c r="M25" s="21">
        <f t="shared" si="1"/>
        <v>0</v>
      </c>
      <c r="N25" s="21">
        <f t="shared" si="5"/>
        <v>0</v>
      </c>
      <c r="O25" s="21">
        <f t="shared" si="6"/>
        <v>0</v>
      </c>
      <c r="P25" s="21">
        <f t="shared" si="7"/>
        <v>0</v>
      </c>
      <c r="Q25" s="21">
        <f t="shared" si="8"/>
        <v>0</v>
      </c>
      <c r="R25" s="21">
        <f t="shared" si="9"/>
        <v>0</v>
      </c>
      <c r="S25" s="21">
        <f t="shared" si="10"/>
        <v>0</v>
      </c>
      <c r="T25" s="21">
        <f t="shared" si="11"/>
        <v>0</v>
      </c>
      <c r="U25" s="21">
        <f t="shared" si="12"/>
        <v>0</v>
      </c>
      <c r="V25" s="21">
        <f t="shared" si="13"/>
        <v>0</v>
      </c>
      <c r="W25" s="21">
        <f t="shared" si="14"/>
        <v>0</v>
      </c>
      <c r="X25" s="21">
        <f t="shared" si="15"/>
        <v>0</v>
      </c>
      <c r="Y25" s="21">
        <f t="shared" si="16"/>
        <v>0</v>
      </c>
    </row>
    <row r="26" spans="1:25" x14ac:dyDescent="0.25">
      <c r="A26" s="94">
        <v>12</v>
      </c>
      <c r="B26" s="94"/>
      <c r="C26" s="94"/>
      <c r="D26" s="94"/>
      <c r="E26" s="94"/>
      <c r="F26" s="95"/>
      <c r="G26" s="95">
        <f>'№ 4 договора ГПХ'!I14+'№ 4 договора ГПХ'!K14+'№ 4 договора ГПХ'!M14+'№ 4 договора ГПХ'!O14+'№ 4 договора ГПХ'!Q14+'№ 4 договора ГПХ'!S14</f>
        <v>0</v>
      </c>
      <c r="H26" s="95">
        <f>'№ 4 договора ГПХ'!J14+'№ 4 договора ГПХ'!L14+'№ 4 договора ГПХ'!N14+'№ 4 договора ГПХ'!P14+'№ 4 договора ГПХ'!R14+'№ 4 договора ГПХ'!T14</f>
        <v>0</v>
      </c>
      <c r="I26" s="21">
        <f t="shared" si="2"/>
        <v>0</v>
      </c>
      <c r="J26" s="96">
        <f t="shared" si="0"/>
        <v>0</v>
      </c>
      <c r="K26" s="21">
        <f t="shared" si="3"/>
        <v>0</v>
      </c>
      <c r="L26" s="21">
        <f t="shared" si="4"/>
        <v>0</v>
      </c>
      <c r="M26" s="21">
        <f t="shared" si="1"/>
        <v>0</v>
      </c>
      <c r="N26" s="21">
        <f t="shared" si="5"/>
        <v>0</v>
      </c>
      <c r="O26" s="21">
        <f t="shared" si="6"/>
        <v>0</v>
      </c>
      <c r="P26" s="21">
        <f t="shared" si="7"/>
        <v>0</v>
      </c>
      <c r="Q26" s="21">
        <f t="shared" si="8"/>
        <v>0</v>
      </c>
      <c r="R26" s="21">
        <f t="shared" si="9"/>
        <v>0</v>
      </c>
      <c r="S26" s="21">
        <f t="shared" si="10"/>
        <v>0</v>
      </c>
      <c r="T26" s="21">
        <f t="shared" si="11"/>
        <v>0</v>
      </c>
      <c r="U26" s="21">
        <f t="shared" si="12"/>
        <v>0</v>
      </c>
      <c r="V26" s="21">
        <f t="shared" si="13"/>
        <v>0</v>
      </c>
      <c r="W26" s="21">
        <f t="shared" si="14"/>
        <v>0</v>
      </c>
      <c r="X26" s="21">
        <f t="shared" si="15"/>
        <v>0</v>
      </c>
      <c r="Y26" s="21">
        <f t="shared" si="16"/>
        <v>0</v>
      </c>
    </row>
    <row r="27" spans="1:25" s="98" customFormat="1" ht="14.25" x14ac:dyDescent="0.2">
      <c r="A27" s="328" t="s">
        <v>73</v>
      </c>
      <c r="B27" s="329"/>
      <c r="C27" s="107"/>
      <c r="D27" s="107"/>
      <c r="E27" s="97">
        <f>SUM(E15:E26)</f>
        <v>20000</v>
      </c>
      <c r="F27" s="97">
        <f>SUM(F15:F26)</f>
        <v>0</v>
      </c>
      <c r="G27" s="97">
        <f t="shared" ref="G27:H27" si="17">SUM(G15:G26)</f>
        <v>1000</v>
      </c>
      <c r="H27" s="97">
        <f t="shared" si="17"/>
        <v>200</v>
      </c>
      <c r="I27" s="97">
        <f>SUM(I15:I26)</f>
        <v>18800</v>
      </c>
      <c r="J27" s="97"/>
      <c r="K27" s="97">
        <f>SUM(K15:K26)</f>
        <v>1880</v>
      </c>
      <c r="L27" s="97">
        <f>SUM(L15:L26)</f>
        <v>0</v>
      </c>
      <c r="M27" s="97"/>
      <c r="N27" s="97">
        <f t="shared" ref="N27:Y27" si="18">SUM(N15:N26)</f>
        <v>0</v>
      </c>
      <c r="O27" s="97">
        <f t="shared" si="18"/>
        <v>0</v>
      </c>
      <c r="P27" s="97">
        <f t="shared" si="18"/>
        <v>0</v>
      </c>
      <c r="Q27" s="97">
        <f t="shared" si="18"/>
        <v>0</v>
      </c>
      <c r="R27" s="97">
        <f t="shared" si="18"/>
        <v>0</v>
      </c>
      <c r="S27" s="97">
        <f t="shared" si="18"/>
        <v>0</v>
      </c>
      <c r="T27" s="97">
        <f t="shared" si="18"/>
        <v>1880</v>
      </c>
      <c r="U27" s="97">
        <f t="shared" si="18"/>
        <v>0</v>
      </c>
      <c r="V27" s="97">
        <f t="shared" si="18"/>
        <v>0</v>
      </c>
      <c r="W27" s="97">
        <f t="shared" si="18"/>
        <v>0</v>
      </c>
      <c r="X27" s="97">
        <f t="shared" si="18"/>
        <v>0</v>
      </c>
      <c r="Y27" s="97">
        <f t="shared" si="18"/>
        <v>0</v>
      </c>
    </row>
    <row r="28" spans="1:25" x14ac:dyDescent="0.25">
      <c r="A28" s="43"/>
      <c r="B28" s="43"/>
      <c r="C28" s="44"/>
      <c r="D28" s="44"/>
      <c r="E28" s="44"/>
    </row>
    <row r="29" spans="1:25" x14ac:dyDescent="0.25">
      <c r="A29" s="45" t="s">
        <v>62</v>
      </c>
      <c r="B29" s="37"/>
      <c r="C29"/>
      <c r="D29"/>
      <c r="E29"/>
    </row>
    <row r="30" spans="1:25" x14ac:dyDescent="0.25">
      <c r="A30" s="37"/>
      <c r="B30" s="37"/>
      <c r="C30"/>
      <c r="D30"/>
      <c r="E30"/>
    </row>
    <row r="31" spans="1:25" x14ac:dyDescent="0.25">
      <c r="A31" s="43"/>
      <c r="B31" s="43"/>
      <c r="C31" s="44"/>
      <c r="D31" s="44"/>
      <c r="E31" s="44"/>
    </row>
    <row r="32" spans="1:25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X14:Y14"/>
    <mergeCell ref="A27:B27"/>
    <mergeCell ref="A10:I10"/>
    <mergeCell ref="N14:O14"/>
    <mergeCell ref="P14:Q14"/>
    <mergeCell ref="R14:S14"/>
    <mergeCell ref="T14:U14"/>
    <mergeCell ref="V14:W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T16"/>
  <sheetViews>
    <sheetView workbookViewId="0">
      <selection activeCell="P3" sqref="P3"/>
    </sheetView>
  </sheetViews>
  <sheetFormatPr defaultRowHeight="12.75" x14ac:dyDescent="0.2"/>
  <cols>
    <col min="9" max="9" width="12" bestFit="1" customWidth="1"/>
    <col min="10" max="10" width="9.28515625" customWidth="1"/>
  </cols>
  <sheetData>
    <row r="1" spans="1:20" ht="140.25" x14ac:dyDescent="0.2">
      <c r="A1" s="60" t="s">
        <v>69</v>
      </c>
      <c r="B1" s="39" t="s">
        <v>137</v>
      </c>
      <c r="C1" s="39" t="s">
        <v>139</v>
      </c>
      <c r="D1" s="39" t="s">
        <v>185</v>
      </c>
      <c r="E1" s="39" t="s">
        <v>78</v>
      </c>
      <c r="F1" s="39" t="s">
        <v>184</v>
      </c>
      <c r="G1" s="39" t="s">
        <v>266</v>
      </c>
      <c r="H1" s="39" t="s">
        <v>138</v>
      </c>
      <c r="I1" s="39" t="s">
        <v>186</v>
      </c>
      <c r="J1" s="39" t="s">
        <v>212</v>
      </c>
      <c r="K1" s="39" t="s">
        <v>186</v>
      </c>
      <c r="L1" s="39" t="s">
        <v>212</v>
      </c>
      <c r="M1" s="39" t="s">
        <v>186</v>
      </c>
      <c r="N1" s="39" t="s">
        <v>212</v>
      </c>
      <c r="O1" s="39" t="s">
        <v>186</v>
      </c>
      <c r="P1" s="39" t="s">
        <v>212</v>
      </c>
      <c r="Q1" s="39" t="s">
        <v>186</v>
      </c>
      <c r="R1" s="39" t="s">
        <v>212</v>
      </c>
      <c r="S1" s="39" t="s">
        <v>186</v>
      </c>
      <c r="T1" s="39" t="s">
        <v>212</v>
      </c>
    </row>
    <row r="2" spans="1:20" ht="15" x14ac:dyDescent="0.25">
      <c r="A2" s="60"/>
      <c r="B2" s="39"/>
      <c r="C2" s="39"/>
      <c r="D2" s="39"/>
      <c r="E2" s="60"/>
      <c r="F2" s="60"/>
      <c r="G2" s="39"/>
      <c r="H2" s="39"/>
      <c r="I2" s="127" t="str">
        <f>IF('№ 910 Декларация '!L12=1,"январь","июль")</f>
        <v>июль</v>
      </c>
      <c r="J2" s="130" t="str">
        <f>I2</f>
        <v>июль</v>
      </c>
      <c r="K2" s="127" t="str">
        <f>IF('№ 910 Декларация '!L12=1,"февраль","август")</f>
        <v>август</v>
      </c>
      <c r="L2" s="130" t="str">
        <f>K2</f>
        <v>август</v>
      </c>
      <c r="M2" s="127" t="str">
        <f>IF('№ 910 Декларация '!L12=1,"март","сентябрь")</f>
        <v>сентябрь</v>
      </c>
      <c r="N2" s="130" t="str">
        <f>M2</f>
        <v>сентябрь</v>
      </c>
      <c r="O2" s="127" t="str">
        <f>IF('№ 910 Декларация '!L12=1,"апрель","октябрь")</f>
        <v>октябрь</v>
      </c>
      <c r="P2" s="130" t="str">
        <f>O2</f>
        <v>октябрь</v>
      </c>
      <c r="Q2" s="127" t="str">
        <f>IF('№ 910 Декларация '!L12=1,"май","ноябрь")</f>
        <v>ноябрь</v>
      </c>
      <c r="R2" s="130" t="str">
        <f>Q2</f>
        <v>ноябрь</v>
      </c>
      <c r="S2" s="127" t="str">
        <f>IF('№ 910 Декларация '!L12=1,"июнь","декабрь")</f>
        <v>декабрь</v>
      </c>
      <c r="T2" s="130" t="str">
        <f>S2</f>
        <v>декабрь</v>
      </c>
    </row>
    <row r="3" spans="1:20" ht="15" x14ac:dyDescent="0.25">
      <c r="A3" s="151">
        <v>1</v>
      </c>
      <c r="B3" s="151" t="str">
        <f>'№3 договора ГПХ'!B15</f>
        <v>РК</v>
      </c>
      <c r="C3" s="151">
        <f>'№3 договора ГПХ'!D15</f>
        <v>4</v>
      </c>
      <c r="D3" s="151">
        <f>'№3 договора ГПХ'!E15</f>
        <v>20000</v>
      </c>
      <c r="E3" s="95">
        <v>0</v>
      </c>
      <c r="F3" s="21">
        <f>IF(C3=3,0,D3-E3)</f>
        <v>20000</v>
      </c>
      <c r="G3" s="96">
        <f>IF(D3&lt;=0,0,5%)</f>
        <v>0.05</v>
      </c>
      <c r="H3" s="21">
        <f t="shared" ref="H3:H14" si="0">IF(C3&gt;6,C3-6,C3)</f>
        <v>4</v>
      </c>
      <c r="I3" s="23">
        <f>IF($H3=1,F3*G3,0)</f>
        <v>0</v>
      </c>
      <c r="J3" s="23">
        <f>IF($C3=1,$F3*введение!C$22,0)</f>
        <v>0</v>
      </c>
      <c r="K3" s="23">
        <f>IF($H3=2,F3*G3,0)</f>
        <v>0</v>
      </c>
      <c r="L3" s="23">
        <f>IF($C3=2,$F3*введение!C$22,0)</f>
        <v>0</v>
      </c>
      <c r="M3" s="23">
        <f>IF($H3=3,F3*G3,0)</f>
        <v>0</v>
      </c>
      <c r="N3" s="23">
        <f>IF($C3=3,$F3*введение!C$22,0)</f>
        <v>0</v>
      </c>
      <c r="O3" s="23">
        <f>IF($H3=4,F3*G3,0)</f>
        <v>1000</v>
      </c>
      <c r="P3" s="23">
        <f>IF($C3=4,$F3*введение!C$22,0)</f>
        <v>200</v>
      </c>
      <c r="Q3" s="23">
        <f>IF($H3=5,F3*G3,0)</f>
        <v>0</v>
      </c>
      <c r="R3" s="23">
        <f>IF($C3=5,$F3*введение!C$22,0)</f>
        <v>0</v>
      </c>
      <c r="S3" s="23">
        <f>IF($H3=6,F3*G3,0)</f>
        <v>0</v>
      </c>
      <c r="T3" s="23">
        <f>IF($C3=6,$F3*введение!C$22,0)</f>
        <v>0</v>
      </c>
    </row>
    <row r="4" spans="1:20" ht="15" x14ac:dyDescent="0.25">
      <c r="A4" s="151">
        <v>2</v>
      </c>
      <c r="B4" s="151">
        <f>'№3 договора ГПХ'!B16</f>
        <v>0</v>
      </c>
      <c r="C4" s="151">
        <f>'№3 договора ГПХ'!D16</f>
        <v>0</v>
      </c>
      <c r="D4" s="151">
        <f>'№3 договора ГПХ'!E16</f>
        <v>0</v>
      </c>
      <c r="E4" s="95"/>
      <c r="F4" s="21">
        <f t="shared" ref="F4:F14" si="1">IF(C4=3,0,D4-E4)</f>
        <v>0</v>
      </c>
      <c r="G4" s="96">
        <f t="shared" ref="G4:G14" si="2">IF(D4&lt;=0,0,5%)</f>
        <v>0</v>
      </c>
      <c r="H4" s="21">
        <f t="shared" si="0"/>
        <v>0</v>
      </c>
      <c r="I4" s="23">
        <f>IF($H4=1,F4*G4,0)</f>
        <v>0</v>
      </c>
      <c r="J4" s="23">
        <f>IF($C4=1,$F4*введение!C$22,0)</f>
        <v>0</v>
      </c>
      <c r="K4" s="23">
        <f t="shared" ref="K4:K14" si="3">IF($H4=2,F4*G4,0)</f>
        <v>0</v>
      </c>
      <c r="L4" s="23">
        <f>IF($C4=2,$F4*введение!C$22,0)</f>
        <v>0</v>
      </c>
      <c r="M4" s="23">
        <f t="shared" ref="M4:M14" si="4">IF($H4=3,F4*G4,0)</f>
        <v>0</v>
      </c>
      <c r="N4" s="23">
        <f>IF($C4=3,$F4*введение!C$22,0)</f>
        <v>0</v>
      </c>
      <c r="O4" s="23">
        <f t="shared" ref="O4:O14" si="5">IF($H4=4,F4*G4,0)</f>
        <v>0</v>
      </c>
      <c r="P4" s="23">
        <f>IF($C4=4,$F4*введение!C$22,0)</f>
        <v>0</v>
      </c>
      <c r="Q4" s="23">
        <f t="shared" ref="Q4:Q14" si="6">IF($H4=5,F4*G4,0)</f>
        <v>0</v>
      </c>
      <c r="R4" s="23">
        <f>IF($C4=5,$F4*введение!C$22,0)</f>
        <v>0</v>
      </c>
      <c r="S4" s="23">
        <f t="shared" ref="S4:S14" si="7">IF($H4=6,F4*G4,0)</f>
        <v>0</v>
      </c>
      <c r="T4" s="23">
        <f>IF($C4=6,$F4*введение!C$22,0)</f>
        <v>0</v>
      </c>
    </row>
    <row r="5" spans="1:20" ht="15" x14ac:dyDescent="0.25">
      <c r="A5" s="151">
        <v>3</v>
      </c>
      <c r="B5" s="151">
        <f>'№3 договора ГПХ'!B17</f>
        <v>0</v>
      </c>
      <c r="C5" s="151">
        <f>'№3 договора ГПХ'!D17</f>
        <v>0</v>
      </c>
      <c r="D5" s="151">
        <f>'№3 договора ГПХ'!E17</f>
        <v>0</v>
      </c>
      <c r="E5" s="95"/>
      <c r="F5" s="21">
        <f t="shared" si="1"/>
        <v>0</v>
      </c>
      <c r="G5" s="96">
        <f t="shared" si="2"/>
        <v>0</v>
      </c>
      <c r="H5" s="21">
        <f t="shared" si="0"/>
        <v>0</v>
      </c>
      <c r="I5" s="23">
        <f t="shared" ref="I5:I14" si="8">IF($H5=1,F5*G5,0)</f>
        <v>0</v>
      </c>
      <c r="J5" s="23">
        <f>IF($C5=1,$F5*введение!C$22,0)</f>
        <v>0</v>
      </c>
      <c r="K5" s="23">
        <f t="shared" si="3"/>
        <v>0</v>
      </c>
      <c r="L5" s="23">
        <f>IF($C5=2,$F5*введение!C$22,0)</f>
        <v>0</v>
      </c>
      <c r="M5" s="23">
        <f t="shared" si="4"/>
        <v>0</v>
      </c>
      <c r="N5" s="23">
        <f>IF($C5=3,$F5*введение!C$22,0)</f>
        <v>0</v>
      </c>
      <c r="O5" s="23">
        <f t="shared" si="5"/>
        <v>0</v>
      </c>
      <c r="P5" s="23">
        <f>IF($C5=4,$F5*введение!C$22,0)</f>
        <v>0</v>
      </c>
      <c r="Q5" s="23">
        <f t="shared" si="6"/>
        <v>0</v>
      </c>
      <c r="R5" s="23">
        <f>IF($C5=5,$F5*введение!C$22,0)</f>
        <v>0</v>
      </c>
      <c r="S5" s="23">
        <f t="shared" si="7"/>
        <v>0</v>
      </c>
      <c r="T5" s="23">
        <f>IF($C5=6,$F5*введение!C$22,0)</f>
        <v>0</v>
      </c>
    </row>
    <row r="6" spans="1:20" ht="15" x14ac:dyDescent="0.25">
      <c r="A6" s="151">
        <v>4</v>
      </c>
      <c r="B6" s="151">
        <f>'№3 договора ГПХ'!B18</f>
        <v>0</v>
      </c>
      <c r="C6" s="151">
        <f>'№3 договора ГПХ'!D18</f>
        <v>0</v>
      </c>
      <c r="D6" s="151">
        <f>'№3 договора ГПХ'!E18</f>
        <v>0</v>
      </c>
      <c r="E6" s="95"/>
      <c r="F6" s="21">
        <f t="shared" si="1"/>
        <v>0</v>
      </c>
      <c r="G6" s="96">
        <f t="shared" si="2"/>
        <v>0</v>
      </c>
      <c r="H6" s="21">
        <f t="shared" si="0"/>
        <v>0</v>
      </c>
      <c r="I6" s="23">
        <f t="shared" si="8"/>
        <v>0</v>
      </c>
      <c r="J6" s="23">
        <f>IF($C6=1,$F6*введение!C$22,0)</f>
        <v>0</v>
      </c>
      <c r="K6" s="23">
        <f t="shared" si="3"/>
        <v>0</v>
      </c>
      <c r="L6" s="23">
        <f>IF($C6=2,$F6*введение!C$22,0)</f>
        <v>0</v>
      </c>
      <c r="M6" s="23">
        <f t="shared" si="4"/>
        <v>0</v>
      </c>
      <c r="N6" s="23">
        <f>IF($C6=3,$F6*введение!C$22,0)</f>
        <v>0</v>
      </c>
      <c r="O6" s="23">
        <f t="shared" si="5"/>
        <v>0</v>
      </c>
      <c r="P6" s="23">
        <f>IF($C6=4,$F6*введение!C$22,0)</f>
        <v>0</v>
      </c>
      <c r="Q6" s="23">
        <f t="shared" si="6"/>
        <v>0</v>
      </c>
      <c r="R6" s="23">
        <f>IF($C6=5,$F6*введение!C$22,0)</f>
        <v>0</v>
      </c>
      <c r="S6" s="23">
        <f t="shared" si="7"/>
        <v>0</v>
      </c>
      <c r="T6" s="23">
        <f>IF($C6=6,$F6*введение!C$22,0)</f>
        <v>0</v>
      </c>
    </row>
    <row r="7" spans="1:20" ht="15" x14ac:dyDescent="0.25">
      <c r="A7" s="151">
        <v>5</v>
      </c>
      <c r="B7" s="151">
        <f>'№3 договора ГПХ'!B19</f>
        <v>0</v>
      </c>
      <c r="C7" s="151">
        <f>'№3 договора ГПХ'!D19</f>
        <v>0</v>
      </c>
      <c r="D7" s="151">
        <f>'№3 договора ГПХ'!E19</f>
        <v>0</v>
      </c>
      <c r="E7" s="95"/>
      <c r="F7" s="21">
        <f t="shared" si="1"/>
        <v>0</v>
      </c>
      <c r="G7" s="96">
        <f t="shared" si="2"/>
        <v>0</v>
      </c>
      <c r="H7" s="21">
        <f t="shared" si="0"/>
        <v>0</v>
      </c>
      <c r="I7" s="23">
        <f t="shared" si="8"/>
        <v>0</v>
      </c>
      <c r="J7" s="23">
        <f>IF($C7=1,$F7*введение!C$22,0)</f>
        <v>0</v>
      </c>
      <c r="K7" s="23">
        <f t="shared" si="3"/>
        <v>0</v>
      </c>
      <c r="L7" s="23">
        <f>IF($C7=2,$F7*введение!C$22,0)</f>
        <v>0</v>
      </c>
      <c r="M7" s="23">
        <f t="shared" si="4"/>
        <v>0</v>
      </c>
      <c r="N7" s="23">
        <f>IF($C7=3,$F7*введение!C$22,0)</f>
        <v>0</v>
      </c>
      <c r="O7" s="23">
        <f t="shared" si="5"/>
        <v>0</v>
      </c>
      <c r="P7" s="23">
        <f>IF($C7=4,$F7*введение!C$22,0)</f>
        <v>0</v>
      </c>
      <c r="Q7" s="23">
        <f t="shared" si="6"/>
        <v>0</v>
      </c>
      <c r="R7" s="23">
        <f>IF($C7=5,$F7*введение!C$22,0)</f>
        <v>0</v>
      </c>
      <c r="S7" s="23">
        <f t="shared" si="7"/>
        <v>0</v>
      </c>
      <c r="T7" s="23">
        <f>IF($C7=6,$F7*введение!C$22,0)</f>
        <v>0</v>
      </c>
    </row>
    <row r="8" spans="1:20" ht="15" x14ac:dyDescent="0.25">
      <c r="A8" s="151">
        <v>6</v>
      </c>
      <c r="B8" s="151">
        <f>'№3 договора ГПХ'!B20</f>
        <v>0</v>
      </c>
      <c r="C8" s="151">
        <f>'№3 договора ГПХ'!D20</f>
        <v>0</v>
      </c>
      <c r="D8" s="151">
        <f>'№3 договора ГПХ'!E20</f>
        <v>0</v>
      </c>
      <c r="E8" s="95"/>
      <c r="F8" s="21">
        <f t="shared" si="1"/>
        <v>0</v>
      </c>
      <c r="G8" s="96">
        <f t="shared" si="2"/>
        <v>0</v>
      </c>
      <c r="H8" s="21">
        <f t="shared" si="0"/>
        <v>0</v>
      </c>
      <c r="I8" s="23">
        <f t="shared" si="8"/>
        <v>0</v>
      </c>
      <c r="J8" s="23">
        <f>IF($C8=1,$F8*введение!C$22,0)</f>
        <v>0</v>
      </c>
      <c r="K8" s="23">
        <f t="shared" si="3"/>
        <v>0</v>
      </c>
      <c r="L8" s="23">
        <f>IF($C8=2,$F8*введение!C$22,0)</f>
        <v>0</v>
      </c>
      <c r="M8" s="23">
        <f t="shared" si="4"/>
        <v>0</v>
      </c>
      <c r="N8" s="23">
        <f>IF($C8=3,$F8*введение!C$22,0)</f>
        <v>0</v>
      </c>
      <c r="O8" s="23">
        <f t="shared" si="5"/>
        <v>0</v>
      </c>
      <c r="P8" s="23">
        <f>IF($C8=4,$F8*введение!C$22,0)</f>
        <v>0</v>
      </c>
      <c r="Q8" s="23">
        <f t="shared" si="6"/>
        <v>0</v>
      </c>
      <c r="R8" s="23">
        <f>IF($C8=5,$F8*введение!C$22,0)</f>
        <v>0</v>
      </c>
      <c r="S8" s="23">
        <f t="shared" si="7"/>
        <v>0</v>
      </c>
      <c r="T8" s="23">
        <f>IF($C8=6,$F8*введение!C$22,0)</f>
        <v>0</v>
      </c>
    </row>
    <row r="9" spans="1:20" ht="15" x14ac:dyDescent="0.25">
      <c r="A9" s="151">
        <v>7</v>
      </c>
      <c r="B9" s="151">
        <f>'№3 договора ГПХ'!B21</f>
        <v>0</v>
      </c>
      <c r="C9" s="151">
        <f>'№3 договора ГПХ'!D21</f>
        <v>0</v>
      </c>
      <c r="D9" s="151">
        <f>'№3 договора ГПХ'!E21</f>
        <v>0</v>
      </c>
      <c r="E9" s="95"/>
      <c r="F9" s="21">
        <f t="shared" si="1"/>
        <v>0</v>
      </c>
      <c r="G9" s="96">
        <f t="shared" si="2"/>
        <v>0</v>
      </c>
      <c r="H9" s="21">
        <f t="shared" si="0"/>
        <v>0</v>
      </c>
      <c r="I9" s="23">
        <f t="shared" si="8"/>
        <v>0</v>
      </c>
      <c r="J9" s="23">
        <f>IF($C9=1,$F9*введение!C$22,0)</f>
        <v>0</v>
      </c>
      <c r="K9" s="23">
        <f t="shared" si="3"/>
        <v>0</v>
      </c>
      <c r="L9" s="23">
        <f>IF($C9=2,$F9*введение!C$22,0)</f>
        <v>0</v>
      </c>
      <c r="M9" s="23">
        <f t="shared" si="4"/>
        <v>0</v>
      </c>
      <c r="N9" s="23">
        <f>IF($C9=3,$F9*введение!C$22,0)</f>
        <v>0</v>
      </c>
      <c r="O9" s="23">
        <f t="shared" si="5"/>
        <v>0</v>
      </c>
      <c r="P9" s="23">
        <f>IF($C9=4,$F9*введение!C$22,0)</f>
        <v>0</v>
      </c>
      <c r="Q9" s="23">
        <f t="shared" si="6"/>
        <v>0</v>
      </c>
      <c r="R9" s="23">
        <f>IF($C9=5,$F9*введение!C$22,0)</f>
        <v>0</v>
      </c>
      <c r="S9" s="23">
        <f t="shared" si="7"/>
        <v>0</v>
      </c>
      <c r="T9" s="23">
        <f>IF($C9=6,$F9*введение!C$22,0)</f>
        <v>0</v>
      </c>
    </row>
    <row r="10" spans="1:20" ht="15" x14ac:dyDescent="0.25">
      <c r="A10" s="151">
        <v>8</v>
      </c>
      <c r="B10" s="151">
        <f>'№3 договора ГПХ'!B22</f>
        <v>0</v>
      </c>
      <c r="C10" s="151">
        <f>'№3 договора ГПХ'!D22</f>
        <v>0</v>
      </c>
      <c r="D10" s="151">
        <f>'№3 договора ГПХ'!E22</f>
        <v>0</v>
      </c>
      <c r="E10" s="95"/>
      <c r="F10" s="21">
        <f t="shared" si="1"/>
        <v>0</v>
      </c>
      <c r="G10" s="96">
        <f t="shared" si="2"/>
        <v>0</v>
      </c>
      <c r="H10" s="21">
        <f t="shared" si="0"/>
        <v>0</v>
      </c>
      <c r="I10" s="23">
        <f t="shared" si="8"/>
        <v>0</v>
      </c>
      <c r="J10" s="23">
        <f>IF($C10=1,$F10*введение!C$22,0)</f>
        <v>0</v>
      </c>
      <c r="K10" s="23">
        <f t="shared" si="3"/>
        <v>0</v>
      </c>
      <c r="L10" s="23">
        <f>IF($C10=2,$F10*введение!C$22,0)</f>
        <v>0</v>
      </c>
      <c r="M10" s="23">
        <f t="shared" si="4"/>
        <v>0</v>
      </c>
      <c r="N10" s="23">
        <f>IF($C10=3,$F10*введение!C$22,0)</f>
        <v>0</v>
      </c>
      <c r="O10" s="23">
        <f t="shared" si="5"/>
        <v>0</v>
      </c>
      <c r="P10" s="23">
        <f>IF($C10=4,$F10*введение!C$22,0)</f>
        <v>0</v>
      </c>
      <c r="Q10" s="23">
        <f t="shared" si="6"/>
        <v>0</v>
      </c>
      <c r="R10" s="23">
        <f>IF($C10=5,$F10*введение!C$22,0)</f>
        <v>0</v>
      </c>
      <c r="S10" s="23">
        <f t="shared" si="7"/>
        <v>0</v>
      </c>
      <c r="T10" s="23">
        <f>IF($C10=6,$F10*введение!C$22,0)</f>
        <v>0</v>
      </c>
    </row>
    <row r="11" spans="1:20" ht="15" x14ac:dyDescent="0.25">
      <c r="A11" s="151">
        <v>9</v>
      </c>
      <c r="B11" s="151">
        <f>'№3 договора ГПХ'!B23</f>
        <v>0</v>
      </c>
      <c r="C11" s="151">
        <f>'№3 договора ГПХ'!D23</f>
        <v>0</v>
      </c>
      <c r="D11" s="151">
        <f>'№3 договора ГПХ'!E23</f>
        <v>0</v>
      </c>
      <c r="E11" s="95"/>
      <c r="F11" s="21">
        <f t="shared" si="1"/>
        <v>0</v>
      </c>
      <c r="G11" s="96">
        <f t="shared" si="2"/>
        <v>0</v>
      </c>
      <c r="H11" s="21">
        <f t="shared" si="0"/>
        <v>0</v>
      </c>
      <c r="I11" s="23">
        <f t="shared" si="8"/>
        <v>0</v>
      </c>
      <c r="J11" s="23">
        <f>IF($C11=1,$F11*введение!C$22,0)</f>
        <v>0</v>
      </c>
      <c r="K11" s="23">
        <f t="shared" si="3"/>
        <v>0</v>
      </c>
      <c r="L11" s="23">
        <f>IF($C11=2,$F11*введение!C$22,0)</f>
        <v>0</v>
      </c>
      <c r="M11" s="23">
        <f t="shared" si="4"/>
        <v>0</v>
      </c>
      <c r="N11" s="23">
        <f>IF($C11=3,$F11*введение!C$22,0)</f>
        <v>0</v>
      </c>
      <c r="O11" s="23">
        <f t="shared" si="5"/>
        <v>0</v>
      </c>
      <c r="P11" s="23">
        <f>IF($C11=4,$F11*введение!C$22,0)</f>
        <v>0</v>
      </c>
      <c r="Q11" s="23">
        <f t="shared" si="6"/>
        <v>0</v>
      </c>
      <c r="R11" s="23">
        <f>IF($C11=5,$F11*введение!C$22,0)</f>
        <v>0</v>
      </c>
      <c r="S11" s="23">
        <f t="shared" si="7"/>
        <v>0</v>
      </c>
      <c r="T11" s="23">
        <f>IF($C11=6,$F11*введение!C$22,0)</f>
        <v>0</v>
      </c>
    </row>
    <row r="12" spans="1:20" ht="15" x14ac:dyDescent="0.25">
      <c r="A12" s="151">
        <v>10</v>
      </c>
      <c r="B12" s="151">
        <f>'№3 договора ГПХ'!B24</f>
        <v>0</v>
      </c>
      <c r="C12" s="151">
        <f>'№3 договора ГПХ'!D24</f>
        <v>0</v>
      </c>
      <c r="D12" s="151">
        <f>'№3 договора ГПХ'!E24</f>
        <v>0</v>
      </c>
      <c r="E12" s="95"/>
      <c r="F12" s="21">
        <f t="shared" si="1"/>
        <v>0</v>
      </c>
      <c r="G12" s="96">
        <f t="shared" si="2"/>
        <v>0</v>
      </c>
      <c r="H12" s="21">
        <f t="shared" si="0"/>
        <v>0</v>
      </c>
      <c r="I12" s="23">
        <f t="shared" si="8"/>
        <v>0</v>
      </c>
      <c r="J12" s="23">
        <f>IF($C12=1,$F12*введение!C$22,0)</f>
        <v>0</v>
      </c>
      <c r="K12" s="23">
        <f t="shared" si="3"/>
        <v>0</v>
      </c>
      <c r="L12" s="23">
        <f>IF($C12=2,$F12*введение!C$22,0)</f>
        <v>0</v>
      </c>
      <c r="M12" s="23">
        <f t="shared" si="4"/>
        <v>0</v>
      </c>
      <c r="N12" s="23">
        <f>IF($C12=3,$F12*введение!C$22,0)</f>
        <v>0</v>
      </c>
      <c r="O12" s="23">
        <f t="shared" si="5"/>
        <v>0</v>
      </c>
      <c r="P12" s="23">
        <f>IF($C12=4,$F12*введение!C$22,0)</f>
        <v>0</v>
      </c>
      <c r="Q12" s="23">
        <f t="shared" si="6"/>
        <v>0</v>
      </c>
      <c r="R12" s="23">
        <f>IF($C12=5,$F12*введение!C$22,0)</f>
        <v>0</v>
      </c>
      <c r="S12" s="23">
        <f t="shared" si="7"/>
        <v>0</v>
      </c>
      <c r="T12" s="23">
        <f>IF($C12=6,$F12*введение!C$22,0)</f>
        <v>0</v>
      </c>
    </row>
    <row r="13" spans="1:20" ht="15" x14ac:dyDescent="0.25">
      <c r="A13" s="151">
        <v>11</v>
      </c>
      <c r="B13" s="151">
        <f>'№3 договора ГПХ'!B25</f>
        <v>0</v>
      </c>
      <c r="C13" s="151">
        <f>'№3 договора ГПХ'!D25</f>
        <v>0</v>
      </c>
      <c r="D13" s="151">
        <f>'№3 договора ГПХ'!E25</f>
        <v>0</v>
      </c>
      <c r="E13" s="95"/>
      <c r="F13" s="21">
        <f t="shared" si="1"/>
        <v>0</v>
      </c>
      <c r="G13" s="96">
        <f t="shared" si="2"/>
        <v>0</v>
      </c>
      <c r="H13" s="21">
        <f t="shared" si="0"/>
        <v>0</v>
      </c>
      <c r="I13" s="23">
        <f t="shared" si="8"/>
        <v>0</v>
      </c>
      <c r="J13" s="23">
        <f>IF($C13=1,$F13*введение!C$22,0)</f>
        <v>0</v>
      </c>
      <c r="K13" s="23">
        <f t="shared" si="3"/>
        <v>0</v>
      </c>
      <c r="L13" s="23">
        <f>IF($C13=2,$F13*введение!C$22,0)</f>
        <v>0</v>
      </c>
      <c r="M13" s="23">
        <f t="shared" si="4"/>
        <v>0</v>
      </c>
      <c r="N13" s="23">
        <f>IF($C13=3,$F13*введение!C$22,0)</f>
        <v>0</v>
      </c>
      <c r="O13" s="23">
        <f t="shared" si="5"/>
        <v>0</v>
      </c>
      <c r="P13" s="23">
        <f>IF($C13=4,$F13*введение!C$22,0)</f>
        <v>0</v>
      </c>
      <c r="Q13" s="23">
        <f t="shared" si="6"/>
        <v>0</v>
      </c>
      <c r="R13" s="23">
        <f>IF($C13=5,$F13*введение!C$22,0)</f>
        <v>0</v>
      </c>
      <c r="S13" s="23">
        <f t="shared" si="7"/>
        <v>0</v>
      </c>
      <c r="T13" s="23">
        <f>IF($C13=6,$F13*введение!C$22,0)</f>
        <v>0</v>
      </c>
    </row>
    <row r="14" spans="1:20" ht="15" x14ac:dyDescent="0.25">
      <c r="A14" s="151">
        <v>12</v>
      </c>
      <c r="B14" s="151">
        <f>'№3 договора ГПХ'!B26</f>
        <v>0</v>
      </c>
      <c r="C14" s="151">
        <f>'№3 договора ГПХ'!D26</f>
        <v>0</v>
      </c>
      <c r="D14" s="151">
        <f>'№3 договора ГПХ'!E26</f>
        <v>0</v>
      </c>
      <c r="E14" s="95"/>
      <c r="F14" s="21">
        <f t="shared" si="1"/>
        <v>0</v>
      </c>
      <c r="G14" s="96">
        <f t="shared" si="2"/>
        <v>0</v>
      </c>
      <c r="H14" s="21">
        <f t="shared" si="0"/>
        <v>0</v>
      </c>
      <c r="I14" s="23">
        <f t="shared" si="8"/>
        <v>0</v>
      </c>
      <c r="J14" s="23">
        <f>IF($C14=1,$F14*введение!C$22,0)</f>
        <v>0</v>
      </c>
      <c r="K14" s="23">
        <f t="shared" si="3"/>
        <v>0</v>
      </c>
      <c r="L14" s="23">
        <f>IF($C14=2,$F14*введение!C$22,0)</f>
        <v>0</v>
      </c>
      <c r="M14" s="23">
        <f t="shared" si="4"/>
        <v>0</v>
      </c>
      <c r="N14" s="23">
        <f>IF($C14=3,$F14*введение!C$22,0)</f>
        <v>0</v>
      </c>
      <c r="O14" s="23">
        <f t="shared" si="5"/>
        <v>0</v>
      </c>
      <c r="P14" s="23">
        <f>IF($C14=4,$F14*введение!C$22,0)</f>
        <v>0</v>
      </c>
      <c r="Q14" s="23">
        <f t="shared" si="6"/>
        <v>0</v>
      </c>
      <c r="R14" s="23">
        <f>IF($C14=5,$F14*введение!C$22,0)</f>
        <v>0</v>
      </c>
      <c r="S14" s="23">
        <f t="shared" si="7"/>
        <v>0</v>
      </c>
      <c r="T14" s="23">
        <f>IF($C14=6,$F14*введение!C$22,0)</f>
        <v>0</v>
      </c>
    </row>
    <row r="15" spans="1:20" x14ac:dyDescent="0.2">
      <c r="A15" s="328" t="s">
        <v>73</v>
      </c>
      <c r="B15" s="329"/>
      <c r="C15" s="126"/>
      <c r="D15" s="97">
        <f>SUM(D3:D14)</f>
        <v>20000</v>
      </c>
      <c r="E15" s="97">
        <f>SUM(E3:E14)</f>
        <v>0</v>
      </c>
      <c r="F15" s="97">
        <f>SUM(F3:F14)</f>
        <v>20000</v>
      </c>
      <c r="G15" s="97"/>
      <c r="H15" s="97"/>
      <c r="I15" s="128">
        <f t="shared" ref="I15:R15" si="9">SUM(I3:I14)</f>
        <v>0</v>
      </c>
      <c r="J15" s="128">
        <f t="shared" ref="J15:L15" si="10">SUM(J3:J14)</f>
        <v>0</v>
      </c>
      <c r="K15" s="128">
        <f t="shared" si="9"/>
        <v>0</v>
      </c>
      <c r="L15" s="128">
        <f t="shared" si="10"/>
        <v>0</v>
      </c>
      <c r="M15" s="128">
        <f t="shared" si="9"/>
        <v>0</v>
      </c>
      <c r="N15" s="128">
        <f t="shared" si="9"/>
        <v>0</v>
      </c>
      <c r="O15" s="128">
        <f t="shared" si="9"/>
        <v>1000</v>
      </c>
      <c r="P15" s="128">
        <f t="shared" si="9"/>
        <v>200</v>
      </c>
      <c r="Q15" s="128">
        <f t="shared" si="9"/>
        <v>0</v>
      </c>
      <c r="R15" s="128">
        <f t="shared" si="9"/>
        <v>0</v>
      </c>
      <c r="S15" s="128">
        <f t="shared" ref="S15:T15" si="11">SUM(S3:S14)</f>
        <v>0</v>
      </c>
      <c r="T15" s="128">
        <f t="shared" si="11"/>
        <v>0</v>
      </c>
    </row>
    <row r="16" spans="1:20" ht="15" x14ac:dyDescent="0.25">
      <c r="A16" s="43"/>
      <c r="B16" s="43"/>
      <c r="C16" s="44"/>
      <c r="D16" s="44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1"/>
  <sheetViews>
    <sheetView topLeftCell="F10" workbookViewId="0">
      <selection activeCell="T15" sqref="T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6" style="17" customWidth="1"/>
    <col min="4" max="4" width="7.140625" style="17" customWidth="1"/>
    <col min="5" max="5" width="6.42578125" style="17" customWidth="1"/>
    <col min="6" max="6" width="15.28515625" style="17" customWidth="1"/>
    <col min="7" max="7" width="12.7109375" style="17" customWidth="1"/>
    <col min="8" max="8" width="13.140625" style="17" bestFit="1" customWidth="1"/>
    <col min="9" max="9" width="12" style="17" bestFit="1" customWidth="1"/>
    <col min="10" max="10" width="10.5703125" style="17" customWidth="1"/>
    <col min="11" max="11" width="11" style="17" customWidth="1"/>
    <col min="12" max="12" width="15.5703125" style="17" customWidth="1"/>
    <col min="13" max="13" width="12.140625" style="17" customWidth="1"/>
    <col min="14" max="14" width="12.5703125" style="17" customWidth="1"/>
    <col min="15" max="15" width="11" style="17" customWidth="1"/>
    <col min="16" max="16" width="10.42578125" style="17" customWidth="1"/>
    <col min="17" max="17" width="13.7109375" style="17" customWidth="1"/>
    <col min="18" max="18" width="15.42578125" style="17" customWidth="1"/>
    <col min="19" max="19" width="16" style="17" customWidth="1"/>
    <col min="20" max="20" width="19.7109375" style="17" customWidth="1"/>
    <col min="21" max="21" width="13" style="17" customWidth="1"/>
    <col min="22" max="25" width="8.7109375" style="17"/>
    <col min="26" max="26" width="15" style="5" bestFit="1" customWidth="1"/>
    <col min="27" max="28" width="14.5703125" style="17" bestFit="1" customWidth="1"/>
    <col min="29" max="29" width="11.85546875" style="17" bestFit="1" customWidth="1"/>
    <col min="30" max="30" width="11.85546875" style="17" customWidth="1"/>
    <col min="31" max="31" width="13.28515625" style="17" bestFit="1" customWidth="1"/>
    <col min="32" max="16384" width="8.7109375" style="17"/>
  </cols>
  <sheetData>
    <row r="2" spans="1:26" x14ac:dyDescent="0.25">
      <c r="B2" s="18" t="s">
        <v>14</v>
      </c>
      <c r="M2" s="19"/>
    </row>
    <row r="3" spans="1:26" x14ac:dyDescent="0.25">
      <c r="A3" s="20"/>
      <c r="B3" s="20"/>
      <c r="C3" s="20"/>
      <c r="D3" s="20"/>
      <c r="E3" s="20"/>
      <c r="F3" s="20"/>
    </row>
    <row r="4" spans="1:26" x14ac:dyDescent="0.25">
      <c r="A4" s="58" t="s">
        <v>67</v>
      </c>
      <c r="B4" s="44"/>
      <c r="C4" s="58"/>
      <c r="D4" s="58"/>
      <c r="E4" s="58"/>
      <c r="F4" s="58"/>
    </row>
    <row r="5" spans="1:26" x14ac:dyDescent="0.25">
      <c r="A5" s="36"/>
      <c r="B5" s="36"/>
      <c r="C5" s="36"/>
      <c r="D5" s="36"/>
      <c r="E5" s="36"/>
      <c r="F5" s="36"/>
    </row>
    <row r="6" spans="1:26" x14ac:dyDescent="0.25">
      <c r="A6" s="36">
        <v>1</v>
      </c>
      <c r="B6" s="58" t="s">
        <v>68</v>
      </c>
      <c r="C6" s="58"/>
      <c r="D6" s="58"/>
      <c r="E6" s="58"/>
      <c r="F6" s="58"/>
    </row>
    <row r="7" spans="1:26" x14ac:dyDescent="0.25">
      <c r="A7" s="36">
        <v>2</v>
      </c>
      <c r="B7" s="59" t="s">
        <v>15</v>
      </c>
      <c r="C7" s="59"/>
      <c r="D7" s="59"/>
      <c r="E7" s="59"/>
      <c r="F7" s="76">
        <f>'№ 910 Декларация '!D8</f>
        <v>0</v>
      </c>
    </row>
    <row r="8" spans="1:26" x14ac:dyDescent="0.25">
      <c r="A8" s="36">
        <v>3</v>
      </c>
      <c r="B8" s="58" t="s">
        <v>214</v>
      </c>
      <c r="C8" s="58"/>
      <c r="D8" s="58"/>
      <c r="E8" s="58"/>
      <c r="F8" s="58">
        <f>'[1]№ 910 Декларация '!L12</f>
        <v>1</v>
      </c>
      <c r="G8" s="17">
        <f>'[1]№ 910 Декларация '!O12</f>
        <v>2020</v>
      </c>
    </row>
    <row r="9" spans="1:26" x14ac:dyDescent="0.25">
      <c r="A9" s="50"/>
      <c r="B9" s="50"/>
      <c r="C9" s="50"/>
      <c r="D9" s="50"/>
      <c r="E9" s="50"/>
      <c r="F9" s="50"/>
      <c r="G9" s="50"/>
      <c r="H9" s="50"/>
      <c r="I9" s="50"/>
    </row>
    <row r="10" spans="1:26" ht="43.5" customHeight="1" x14ac:dyDescent="0.25">
      <c r="A10" s="324" t="s">
        <v>215</v>
      </c>
      <c r="B10" s="324"/>
      <c r="C10" s="324"/>
      <c r="D10" s="324"/>
      <c r="E10" s="324"/>
      <c r="F10" s="324"/>
      <c r="G10" s="324"/>
      <c r="H10" s="324"/>
      <c r="I10" s="324"/>
      <c r="J10" s="324"/>
    </row>
    <row r="11" spans="1:26" x14ac:dyDescent="0.25">
      <c r="A11" s="50"/>
      <c r="B11" s="50"/>
      <c r="C11" s="50"/>
      <c r="D11" s="50"/>
      <c r="E11" s="50"/>
      <c r="F11" s="50"/>
      <c r="G11" s="50"/>
      <c r="H11" s="50"/>
      <c r="I11" s="50"/>
    </row>
    <row r="12" spans="1:26" x14ac:dyDescent="0.25">
      <c r="A12" s="50"/>
      <c r="B12" s="50"/>
      <c r="C12" s="50"/>
      <c r="D12" s="50"/>
      <c r="E12" s="50"/>
      <c r="F12" s="50"/>
      <c r="G12" s="50"/>
      <c r="H12" s="50"/>
      <c r="I12" s="50"/>
    </row>
    <row r="13" spans="1:26" ht="89.25" x14ac:dyDescent="0.25">
      <c r="A13" s="39" t="s">
        <v>69</v>
      </c>
      <c r="B13" s="39" t="s">
        <v>216</v>
      </c>
      <c r="C13" s="39" t="s">
        <v>217</v>
      </c>
      <c r="D13" s="39" t="s">
        <v>218</v>
      </c>
      <c r="E13" s="39" t="s">
        <v>219</v>
      </c>
      <c r="F13" s="39" t="s">
        <v>220</v>
      </c>
      <c r="G13" s="39" t="s">
        <v>221</v>
      </c>
      <c r="H13" s="39" t="s">
        <v>222</v>
      </c>
      <c r="I13" s="39" t="s">
        <v>223</v>
      </c>
      <c r="J13" s="39" t="s">
        <v>224</v>
      </c>
      <c r="K13" s="39" t="s">
        <v>225</v>
      </c>
      <c r="L13" s="39" t="s">
        <v>226</v>
      </c>
      <c r="M13" s="39" t="s">
        <v>227</v>
      </c>
      <c r="N13" s="39" t="s">
        <v>228</v>
      </c>
      <c r="O13" s="39" t="s">
        <v>229</v>
      </c>
      <c r="P13" s="39" t="s">
        <v>230</v>
      </c>
      <c r="Q13" s="39" t="s">
        <v>231</v>
      </c>
      <c r="R13" s="39" t="s">
        <v>232</v>
      </c>
      <c r="S13" s="39" t="s">
        <v>233</v>
      </c>
      <c r="Z13" s="17"/>
    </row>
    <row r="14" spans="1:26" x14ac:dyDescent="0.25">
      <c r="A14" s="39" t="s">
        <v>198</v>
      </c>
      <c r="B14" s="39" t="s">
        <v>199</v>
      </c>
      <c r="C14" s="39" t="s">
        <v>200</v>
      </c>
      <c r="D14" s="39" t="s">
        <v>9</v>
      </c>
      <c r="E14" s="39" t="s">
        <v>234</v>
      </c>
      <c r="F14" s="39" t="s">
        <v>235</v>
      </c>
      <c r="G14" s="39" t="s">
        <v>236</v>
      </c>
      <c r="H14" s="39" t="s">
        <v>237</v>
      </c>
      <c r="I14" s="39" t="s">
        <v>109</v>
      </c>
      <c r="J14" s="39" t="s">
        <v>238</v>
      </c>
      <c r="K14" s="39" t="s">
        <v>239</v>
      </c>
      <c r="L14" s="39" t="s">
        <v>240</v>
      </c>
      <c r="M14" s="39" t="s">
        <v>241</v>
      </c>
      <c r="N14" s="39" t="s">
        <v>242</v>
      </c>
      <c r="O14" s="39" t="s">
        <v>243</v>
      </c>
      <c r="P14" s="39" t="s">
        <v>244</v>
      </c>
      <c r="Q14" s="39" t="s">
        <v>245</v>
      </c>
      <c r="R14" s="39" t="s">
        <v>246</v>
      </c>
      <c r="S14" s="39" t="s">
        <v>247</v>
      </c>
      <c r="Z14" s="17"/>
    </row>
    <row r="15" spans="1:26" x14ac:dyDescent="0.25">
      <c r="A15" s="94">
        <v>1</v>
      </c>
      <c r="B15" s="94" t="s">
        <v>248</v>
      </c>
      <c r="C15" s="153"/>
      <c r="D15" s="94">
        <v>1</v>
      </c>
      <c r="E15" s="94"/>
      <c r="F15" s="147">
        <v>660000</v>
      </c>
      <c r="G15" s="125"/>
      <c r="H15" s="147">
        <v>66000</v>
      </c>
      <c r="I15" s="147">
        <v>6600</v>
      </c>
      <c r="J15" s="147">
        <v>255000</v>
      </c>
      <c r="K15" s="150"/>
      <c r="L15" s="154">
        <f>F15-G15-H15-J15-K15-I15</f>
        <v>332400</v>
      </c>
      <c r="M15" s="154">
        <f>L15/10</f>
        <v>33240</v>
      </c>
      <c r="N15" s="155">
        <f>F15-H15-M15-I15</f>
        <v>554160</v>
      </c>
      <c r="O15" s="155">
        <f>M15</f>
        <v>33240</v>
      </c>
      <c r="P15" s="150">
        <f>(F15-H15)*3.5/100</f>
        <v>20790</v>
      </c>
      <c r="Q15" s="150"/>
      <c r="R15" s="150"/>
      <c r="S15" s="150">
        <f>F15*2/100</f>
        <v>13200</v>
      </c>
      <c r="Z15" s="17"/>
    </row>
    <row r="16" spans="1:26" x14ac:dyDescent="0.25">
      <c r="A16" s="94">
        <v>2</v>
      </c>
      <c r="B16" s="94" t="s">
        <v>249</v>
      </c>
      <c r="C16" s="153"/>
      <c r="D16" s="94">
        <v>1</v>
      </c>
      <c r="E16" s="94"/>
      <c r="F16" s="147">
        <v>20000</v>
      </c>
      <c r="G16" s="125"/>
      <c r="H16" s="147">
        <v>1000</v>
      </c>
      <c r="I16" s="147">
        <v>200</v>
      </c>
      <c r="J16" s="147">
        <v>0</v>
      </c>
      <c r="K16" s="150"/>
      <c r="L16" s="154">
        <f t="shared" ref="L16:L26" si="0">F16-G16-H16-J16-K16-I16</f>
        <v>18800</v>
      </c>
      <c r="M16" s="154">
        <f t="shared" ref="M16:M18" si="1">L16/10</f>
        <v>1880</v>
      </c>
      <c r="N16" s="155">
        <f t="shared" ref="N16:N26" si="2">F16-H16-M16-I16</f>
        <v>16920</v>
      </c>
      <c r="O16" s="155">
        <f t="shared" ref="O16:O26" si="3">M16</f>
        <v>1880</v>
      </c>
      <c r="P16" s="150"/>
      <c r="Q16" s="150"/>
      <c r="R16" s="150"/>
      <c r="S16" s="150"/>
      <c r="Z16" s="17"/>
    </row>
    <row r="17" spans="1:26" x14ac:dyDescent="0.25">
      <c r="A17" s="94">
        <v>3</v>
      </c>
      <c r="B17" s="94"/>
      <c r="C17" s="153"/>
      <c r="D17" s="94"/>
      <c r="E17" s="94"/>
      <c r="F17" s="147"/>
      <c r="G17" s="125"/>
      <c r="H17" s="147"/>
      <c r="I17" s="147"/>
      <c r="J17" s="147"/>
      <c r="K17" s="150"/>
      <c r="L17" s="154">
        <f t="shared" si="0"/>
        <v>0</v>
      </c>
      <c r="M17" s="154">
        <f t="shared" si="1"/>
        <v>0</v>
      </c>
      <c r="N17" s="155">
        <f t="shared" si="2"/>
        <v>0</v>
      </c>
      <c r="O17" s="155">
        <f t="shared" si="3"/>
        <v>0</v>
      </c>
      <c r="P17" s="150">
        <f t="shared" ref="P17:P26" si="4">(F17-H17)*3.5/100</f>
        <v>0</v>
      </c>
      <c r="Q17" s="150"/>
      <c r="R17" s="150"/>
      <c r="S17" s="150">
        <f t="shared" ref="S17:S26" si="5">F17*2/100</f>
        <v>0</v>
      </c>
      <c r="Z17" s="17"/>
    </row>
    <row r="18" spans="1:26" x14ac:dyDescent="0.25">
      <c r="A18" s="94">
        <v>4</v>
      </c>
      <c r="B18" s="94"/>
      <c r="C18" s="153"/>
      <c r="D18" s="94"/>
      <c r="E18" s="94"/>
      <c r="F18" s="147"/>
      <c r="G18" s="125"/>
      <c r="H18" s="147"/>
      <c r="I18" s="147"/>
      <c r="J18" s="147"/>
      <c r="K18" s="150"/>
      <c r="L18" s="154">
        <f t="shared" si="0"/>
        <v>0</v>
      </c>
      <c r="M18" s="154">
        <f t="shared" si="1"/>
        <v>0</v>
      </c>
      <c r="N18" s="155">
        <f t="shared" si="2"/>
        <v>0</v>
      </c>
      <c r="O18" s="155">
        <f t="shared" si="3"/>
        <v>0</v>
      </c>
      <c r="P18" s="150">
        <f t="shared" si="4"/>
        <v>0</v>
      </c>
      <c r="Q18" s="150"/>
      <c r="R18" s="150"/>
      <c r="S18" s="150">
        <f t="shared" si="5"/>
        <v>0</v>
      </c>
      <c r="Z18" s="17"/>
    </row>
    <row r="19" spans="1:26" x14ac:dyDescent="0.25">
      <c r="A19" s="94">
        <v>5</v>
      </c>
      <c r="B19" s="94"/>
      <c r="C19" s="153"/>
      <c r="D19" s="94"/>
      <c r="E19" s="94"/>
      <c r="F19" s="147"/>
      <c r="G19" s="125"/>
      <c r="H19" s="147"/>
      <c r="I19" s="147"/>
      <c r="J19" s="147"/>
      <c r="K19" s="150"/>
      <c r="L19" s="154">
        <f t="shared" si="0"/>
        <v>0</v>
      </c>
      <c r="M19" s="154">
        <f>F19/10</f>
        <v>0</v>
      </c>
      <c r="N19" s="155">
        <f t="shared" si="2"/>
        <v>0</v>
      </c>
      <c r="O19" s="155">
        <f t="shared" si="3"/>
        <v>0</v>
      </c>
      <c r="P19" s="150"/>
      <c r="Q19" s="150"/>
      <c r="R19" s="150"/>
      <c r="S19" s="150"/>
      <c r="Z19" s="17"/>
    </row>
    <row r="20" spans="1:26" x14ac:dyDescent="0.25">
      <c r="A20" s="94">
        <v>6</v>
      </c>
      <c r="B20" s="94"/>
      <c r="C20" s="153"/>
      <c r="D20" s="94"/>
      <c r="E20" s="94"/>
      <c r="F20" s="147"/>
      <c r="G20" s="125"/>
      <c r="H20" s="147"/>
      <c r="I20" s="147"/>
      <c r="J20" s="147"/>
      <c r="K20" s="150"/>
      <c r="L20" s="154">
        <f t="shared" si="0"/>
        <v>0</v>
      </c>
      <c r="M20" s="154">
        <f>L20*0.15</f>
        <v>0</v>
      </c>
      <c r="N20" s="155">
        <f t="shared" si="2"/>
        <v>0</v>
      </c>
      <c r="O20" s="155">
        <f t="shared" si="3"/>
        <v>0</v>
      </c>
      <c r="P20" s="150"/>
      <c r="Q20" s="150"/>
      <c r="R20" s="150"/>
      <c r="S20" s="150"/>
      <c r="Z20" s="17"/>
    </row>
    <row r="21" spans="1:26" x14ac:dyDescent="0.25">
      <c r="A21" s="94">
        <v>7</v>
      </c>
      <c r="B21" s="94"/>
      <c r="C21" s="153"/>
      <c r="D21" s="94"/>
      <c r="E21" s="94"/>
      <c r="F21" s="147"/>
      <c r="G21" s="125"/>
      <c r="H21" s="147"/>
      <c r="I21" s="147"/>
      <c r="J21" s="150"/>
      <c r="K21" s="150"/>
      <c r="L21" s="154">
        <f t="shared" si="0"/>
        <v>0</v>
      </c>
      <c r="M21" s="154"/>
      <c r="N21" s="155">
        <f t="shared" si="2"/>
        <v>0</v>
      </c>
      <c r="O21" s="155">
        <f t="shared" si="3"/>
        <v>0</v>
      </c>
      <c r="P21" s="150">
        <f t="shared" si="4"/>
        <v>0</v>
      </c>
      <c r="Q21" s="150"/>
      <c r="R21" s="150"/>
      <c r="S21" s="150">
        <f t="shared" si="5"/>
        <v>0</v>
      </c>
      <c r="Z21" s="17"/>
    </row>
    <row r="22" spans="1:26" x14ac:dyDescent="0.25">
      <c r="A22" s="94">
        <v>8</v>
      </c>
      <c r="B22" s="94"/>
      <c r="C22" s="153"/>
      <c r="D22" s="94"/>
      <c r="E22" s="94"/>
      <c r="F22" s="147"/>
      <c r="G22" s="125"/>
      <c r="H22" s="147"/>
      <c r="I22" s="147"/>
      <c r="J22" s="150"/>
      <c r="K22" s="150"/>
      <c r="L22" s="154">
        <f t="shared" si="0"/>
        <v>0</v>
      </c>
      <c r="M22" s="154"/>
      <c r="N22" s="155">
        <f t="shared" si="2"/>
        <v>0</v>
      </c>
      <c r="O22" s="155">
        <f t="shared" si="3"/>
        <v>0</v>
      </c>
      <c r="P22" s="150">
        <f t="shared" si="4"/>
        <v>0</v>
      </c>
      <c r="Q22" s="150"/>
      <c r="R22" s="150"/>
      <c r="S22" s="150">
        <f t="shared" si="5"/>
        <v>0</v>
      </c>
      <c r="Z22" s="17"/>
    </row>
    <row r="23" spans="1:26" x14ac:dyDescent="0.25">
      <c r="A23" s="94">
        <v>9</v>
      </c>
      <c r="B23" s="94"/>
      <c r="C23" s="153"/>
      <c r="D23" s="94"/>
      <c r="E23" s="94"/>
      <c r="F23" s="147"/>
      <c r="G23" s="125"/>
      <c r="H23" s="147"/>
      <c r="I23" s="147"/>
      <c r="J23" s="150"/>
      <c r="K23" s="150"/>
      <c r="L23" s="154">
        <f t="shared" si="0"/>
        <v>0</v>
      </c>
      <c r="M23" s="154"/>
      <c r="N23" s="155">
        <f t="shared" si="2"/>
        <v>0</v>
      </c>
      <c r="O23" s="155">
        <f t="shared" si="3"/>
        <v>0</v>
      </c>
      <c r="P23" s="150">
        <f t="shared" si="4"/>
        <v>0</v>
      </c>
      <c r="Q23" s="150"/>
      <c r="R23" s="150"/>
      <c r="S23" s="150">
        <f t="shared" si="5"/>
        <v>0</v>
      </c>
      <c r="Z23" s="17"/>
    </row>
    <row r="24" spans="1:26" x14ac:dyDescent="0.25">
      <c r="A24" s="94">
        <v>10</v>
      </c>
      <c r="B24" s="94"/>
      <c r="C24" s="153"/>
      <c r="D24" s="94"/>
      <c r="E24" s="94"/>
      <c r="F24" s="147"/>
      <c r="G24" s="125"/>
      <c r="H24" s="147"/>
      <c r="I24" s="147"/>
      <c r="J24" s="150"/>
      <c r="K24" s="150"/>
      <c r="L24" s="154">
        <f t="shared" si="0"/>
        <v>0</v>
      </c>
      <c r="M24" s="154"/>
      <c r="N24" s="155">
        <f t="shared" si="2"/>
        <v>0</v>
      </c>
      <c r="O24" s="155">
        <f t="shared" si="3"/>
        <v>0</v>
      </c>
      <c r="P24" s="150">
        <f t="shared" si="4"/>
        <v>0</v>
      </c>
      <c r="Q24" s="150"/>
      <c r="R24" s="150"/>
      <c r="S24" s="150">
        <f t="shared" si="5"/>
        <v>0</v>
      </c>
      <c r="Z24" s="17"/>
    </row>
    <row r="25" spans="1:26" x14ac:dyDescent="0.25">
      <c r="A25" s="94">
        <v>11</v>
      </c>
      <c r="B25" s="94"/>
      <c r="C25" s="153"/>
      <c r="D25" s="94"/>
      <c r="E25" s="94"/>
      <c r="F25" s="147"/>
      <c r="G25" s="125"/>
      <c r="H25" s="147"/>
      <c r="I25" s="147"/>
      <c r="J25" s="150"/>
      <c r="K25" s="150"/>
      <c r="L25" s="154">
        <f t="shared" si="0"/>
        <v>0</v>
      </c>
      <c r="M25" s="154"/>
      <c r="N25" s="155">
        <f t="shared" si="2"/>
        <v>0</v>
      </c>
      <c r="O25" s="155">
        <f t="shared" si="3"/>
        <v>0</v>
      </c>
      <c r="P25" s="150">
        <f t="shared" si="4"/>
        <v>0</v>
      </c>
      <c r="Q25" s="150"/>
      <c r="R25" s="150"/>
      <c r="S25" s="150">
        <f t="shared" si="5"/>
        <v>0</v>
      </c>
      <c r="Z25" s="17"/>
    </row>
    <row r="26" spans="1:26" x14ac:dyDescent="0.25">
      <c r="A26" s="94">
        <v>12</v>
      </c>
      <c r="B26" s="94"/>
      <c r="C26" s="153"/>
      <c r="D26" s="94"/>
      <c r="E26" s="94"/>
      <c r="F26" s="147"/>
      <c r="G26" s="125"/>
      <c r="H26" s="147"/>
      <c r="I26" s="147"/>
      <c r="J26" s="150"/>
      <c r="K26" s="150"/>
      <c r="L26" s="154">
        <f t="shared" si="0"/>
        <v>0</v>
      </c>
      <c r="M26" s="154"/>
      <c r="N26" s="155">
        <f t="shared" si="2"/>
        <v>0</v>
      </c>
      <c r="O26" s="155">
        <f t="shared" si="3"/>
        <v>0</v>
      </c>
      <c r="P26" s="150">
        <f t="shared" si="4"/>
        <v>0</v>
      </c>
      <c r="Q26" s="150"/>
      <c r="R26" s="150"/>
      <c r="S26" s="150">
        <f t="shared" si="5"/>
        <v>0</v>
      </c>
      <c r="Z26" s="17"/>
    </row>
    <row r="27" spans="1:26" x14ac:dyDescent="0.25">
      <c r="A27" s="328" t="s">
        <v>73</v>
      </c>
      <c r="B27" s="329"/>
      <c r="C27" s="152"/>
      <c r="D27" s="152"/>
      <c r="E27" s="152"/>
      <c r="F27" s="136">
        <f>SUM(F15:F26)</f>
        <v>680000</v>
      </c>
      <c r="G27" s="22">
        <f t="shared" ref="G27:S27" si="6">SUM(G15:G26)</f>
        <v>0</v>
      </c>
      <c r="H27" s="136">
        <f t="shared" si="6"/>
        <v>67000</v>
      </c>
      <c r="I27" s="136">
        <f t="shared" si="6"/>
        <v>6800</v>
      </c>
      <c r="J27" s="136">
        <f t="shared" si="6"/>
        <v>255000</v>
      </c>
      <c r="K27" s="136">
        <f t="shared" si="6"/>
        <v>0</v>
      </c>
      <c r="L27" s="136">
        <f>SUM(L15:L26)</f>
        <v>351200</v>
      </c>
      <c r="M27" s="136">
        <f t="shared" si="6"/>
        <v>35120</v>
      </c>
      <c r="N27" s="136">
        <f t="shared" si="6"/>
        <v>571080</v>
      </c>
      <c r="O27" s="136">
        <f t="shared" si="6"/>
        <v>35120</v>
      </c>
      <c r="P27" s="136">
        <f t="shared" si="6"/>
        <v>20790</v>
      </c>
      <c r="Q27" s="136">
        <f t="shared" si="6"/>
        <v>0</v>
      </c>
      <c r="R27" s="136">
        <f t="shared" si="6"/>
        <v>0</v>
      </c>
      <c r="S27" s="136">
        <f t="shared" si="6"/>
        <v>13200</v>
      </c>
      <c r="Z27" s="17"/>
    </row>
    <row r="28" spans="1:26" x14ac:dyDescent="0.25">
      <c r="A28" s="43"/>
      <c r="B28" s="43"/>
      <c r="C28" s="44"/>
      <c r="D28" s="44"/>
      <c r="E28" s="44"/>
      <c r="F28" s="44"/>
    </row>
    <row r="29" spans="1:26" x14ac:dyDescent="0.25">
      <c r="A29" s="45" t="s">
        <v>62</v>
      </c>
      <c r="B29" s="37"/>
      <c r="C29"/>
      <c r="D29"/>
      <c r="E29"/>
      <c r="F29"/>
    </row>
    <row r="30" spans="1:26" x14ac:dyDescent="0.25">
      <c r="A30" s="37"/>
      <c r="B30" s="37"/>
      <c r="C30"/>
      <c r="D30"/>
      <c r="E30"/>
      <c r="F30"/>
    </row>
    <row r="31" spans="1:26" x14ac:dyDescent="0.25">
      <c r="A31" s="43"/>
      <c r="B31" s="43"/>
      <c r="C31" s="44"/>
      <c r="D31" s="44"/>
      <c r="E31" s="44"/>
      <c r="F31" s="44"/>
    </row>
    <row r="32" spans="1:26" x14ac:dyDescent="0.25">
      <c r="A32" s="45" t="s">
        <v>63</v>
      </c>
      <c r="B32" s="37"/>
      <c r="C32"/>
      <c r="D32"/>
      <c r="E32"/>
      <c r="F32"/>
    </row>
    <row r="33" spans="1:13" x14ac:dyDescent="0.25">
      <c r="A33" s="37"/>
      <c r="B33" s="37"/>
      <c r="C33"/>
      <c r="D33"/>
      <c r="E33"/>
      <c r="F33"/>
    </row>
    <row r="34" spans="1:13" x14ac:dyDescent="0.25">
      <c r="A34" s="43"/>
      <c r="B34" s="43"/>
      <c r="C34" s="44"/>
      <c r="D34" s="44"/>
      <c r="E34" s="44"/>
      <c r="F34" s="44"/>
    </row>
    <row r="35" spans="1:13" x14ac:dyDescent="0.25">
      <c r="A35" s="45" t="s">
        <v>74</v>
      </c>
      <c r="B35" s="37"/>
      <c r="C35"/>
      <c r="D35"/>
      <c r="E35"/>
      <c r="F35"/>
    </row>
    <row r="36" spans="1:13" x14ac:dyDescent="0.25">
      <c r="A36" s="37"/>
      <c r="B36" s="37"/>
      <c r="C36"/>
      <c r="D36"/>
      <c r="E36"/>
      <c r="F36"/>
    </row>
    <row r="37" spans="1:13" x14ac:dyDescent="0.25">
      <c r="A37" s="43"/>
      <c r="B37" s="43"/>
      <c r="C37" s="44"/>
      <c r="D37" s="50"/>
      <c r="E37" s="50"/>
      <c r="F37"/>
    </row>
    <row r="38" spans="1:13" x14ac:dyDescent="0.25">
      <c r="A38" s="45" t="s">
        <v>64</v>
      </c>
      <c r="B38" s="37"/>
      <c r="C38"/>
      <c r="D38"/>
      <c r="E38"/>
      <c r="F38"/>
    </row>
    <row r="39" spans="1:13" x14ac:dyDescent="0.25">
      <c r="A39" s="50"/>
      <c r="B39" s="50"/>
      <c r="C39" s="50"/>
      <c r="D39" s="50"/>
      <c r="E39" s="50"/>
      <c r="F39" s="50"/>
    </row>
    <row r="40" spans="1:13" ht="15.75" x14ac:dyDescent="0.25">
      <c r="A40" s="330" t="s">
        <v>250</v>
      </c>
      <c r="B40" s="330"/>
      <c r="C40" s="330"/>
      <c r="D40" s="330"/>
      <c r="E40" s="330"/>
      <c r="F40" s="330"/>
      <c r="G40" s="330"/>
      <c r="H40" s="330"/>
      <c r="I40" s="330"/>
      <c r="J40" s="330"/>
      <c r="K40" s="330"/>
      <c r="L40" s="330"/>
      <c r="M40" s="330"/>
    </row>
    <row r="41" spans="1:13" ht="15.6" customHeight="1" x14ac:dyDescent="0.25">
      <c r="A41" s="330" t="s">
        <v>251</v>
      </c>
      <c r="B41" s="330"/>
      <c r="C41" s="330"/>
      <c r="D41" s="330"/>
      <c r="E41" s="330"/>
      <c r="F41" s="330"/>
      <c r="G41" s="330"/>
      <c r="H41" s="330"/>
      <c r="I41" s="330"/>
      <c r="J41" s="330"/>
      <c r="K41" s="330"/>
      <c r="L41" s="330"/>
      <c r="M41" s="330"/>
    </row>
    <row r="42" spans="1:13" ht="15.6" customHeight="1" x14ac:dyDescent="0.25">
      <c r="A42" s="330" t="s">
        <v>252</v>
      </c>
      <c r="B42" s="330"/>
      <c r="C42" s="330"/>
      <c r="D42" s="330"/>
      <c r="E42" s="330"/>
      <c r="F42" s="330"/>
      <c r="G42" s="330"/>
      <c r="H42" s="330"/>
      <c r="I42" s="330"/>
      <c r="J42" s="330"/>
      <c r="K42" s="330"/>
      <c r="L42" s="330"/>
      <c r="M42" s="330"/>
    </row>
    <row r="43" spans="1:13" ht="15.6" customHeight="1" x14ac:dyDescent="0.25">
      <c r="A43" s="330" t="s">
        <v>253</v>
      </c>
      <c r="B43" s="330"/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</row>
    <row r="44" spans="1:13" ht="15.6" customHeight="1" x14ac:dyDescent="0.25">
      <c r="A44" s="156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</row>
    <row r="45" spans="1:13" ht="15.6" customHeight="1" x14ac:dyDescent="0.25">
      <c r="A45" s="330" t="s">
        <v>254</v>
      </c>
      <c r="B45" s="330"/>
      <c r="C45" s="330"/>
      <c r="D45" s="330"/>
      <c r="E45" s="330"/>
      <c r="F45" s="330"/>
      <c r="G45" s="330"/>
      <c r="H45" s="330"/>
      <c r="I45" s="330"/>
      <c r="J45" s="330"/>
      <c r="K45" s="330"/>
      <c r="L45" s="330"/>
      <c r="M45" s="330"/>
    </row>
    <row r="46" spans="1:13" ht="15.6" customHeight="1" x14ac:dyDescent="0.25">
      <c r="A46" s="330" t="s">
        <v>255</v>
      </c>
      <c r="B46" s="330"/>
      <c r="C46" s="330"/>
      <c r="D46" s="330"/>
      <c r="E46" s="330"/>
      <c r="F46" s="330"/>
      <c r="G46" s="330"/>
      <c r="H46" s="330"/>
      <c r="I46" s="330"/>
      <c r="J46" s="330"/>
      <c r="K46" s="330"/>
      <c r="L46" s="330"/>
      <c r="M46" s="330"/>
    </row>
    <row r="47" spans="1:13" ht="15.6" customHeight="1" x14ac:dyDescent="0.25">
      <c r="A47" s="330" t="s">
        <v>256</v>
      </c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30"/>
      <c r="M47" s="330"/>
    </row>
    <row r="48" spans="1:13" ht="15.6" customHeight="1" x14ac:dyDescent="0.25">
      <c r="A48" s="330" t="s">
        <v>257</v>
      </c>
      <c r="B48" s="330"/>
      <c r="C48" s="330"/>
      <c r="D48" s="330"/>
      <c r="E48" s="330"/>
      <c r="F48" s="330"/>
      <c r="G48" s="330"/>
      <c r="H48" s="330"/>
      <c r="I48" s="330"/>
      <c r="J48" s="330"/>
      <c r="K48" s="330"/>
      <c r="L48" s="330"/>
      <c r="M48" s="330"/>
    </row>
    <row r="49" spans="1:13" ht="39.6" customHeight="1" x14ac:dyDescent="0.25">
      <c r="A49" s="331" t="s">
        <v>258</v>
      </c>
      <c r="B49" s="331"/>
      <c r="C49" s="331"/>
      <c r="D49" s="331"/>
      <c r="E49" s="331"/>
      <c r="F49" s="331"/>
      <c r="G49" s="331"/>
      <c r="H49" s="331"/>
      <c r="I49" s="331"/>
      <c r="J49" s="331"/>
      <c r="K49" s="331"/>
      <c r="L49" s="331"/>
      <c r="M49" s="331"/>
    </row>
    <row r="50" spans="1:13" ht="15.75" x14ac:dyDescent="0.25">
      <c r="A50" s="330" t="s">
        <v>259</v>
      </c>
      <c r="B50" s="330"/>
      <c r="C50" s="330"/>
      <c r="D50" s="330"/>
      <c r="E50" s="330"/>
      <c r="F50" s="330"/>
      <c r="G50" s="330"/>
      <c r="H50" s="330"/>
      <c r="I50" s="330"/>
      <c r="J50" s="330"/>
      <c r="K50" s="330"/>
      <c r="L50" s="330"/>
      <c r="M50" s="330"/>
    </row>
    <row r="51" spans="1:13" ht="15.75" x14ac:dyDescent="0.25">
      <c r="A51" s="330" t="s">
        <v>260</v>
      </c>
      <c r="B51" s="330"/>
      <c r="C51" s="330"/>
      <c r="D51" s="330"/>
      <c r="E51" s="330"/>
      <c r="F51" s="330"/>
      <c r="G51" s="330"/>
      <c r="H51" s="330"/>
      <c r="I51" s="330"/>
      <c r="J51" s="330"/>
      <c r="K51" s="330"/>
      <c r="L51" s="330"/>
      <c r="M51" s="330"/>
    </row>
  </sheetData>
  <mergeCells count="13">
    <mergeCell ref="A51:M51"/>
    <mergeCell ref="A45:M45"/>
    <mergeCell ref="A46:M46"/>
    <mergeCell ref="A47:M47"/>
    <mergeCell ref="A48:M48"/>
    <mergeCell ref="A49:M49"/>
    <mergeCell ref="A50:M50"/>
    <mergeCell ref="A43:M43"/>
    <mergeCell ref="A10:J10"/>
    <mergeCell ref="A27:B27"/>
    <mergeCell ref="A40:M40"/>
    <mergeCell ref="A41:M41"/>
    <mergeCell ref="A42:M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введение</vt:lpstr>
      <vt:lpstr>№ 910 Декларация </vt:lpstr>
      <vt:lpstr>№ 1 доход ИП 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№3 договора ГПХ</vt:lpstr>
      <vt:lpstr>№ 4 договора ГПХ</vt:lpstr>
      <vt:lpstr>910.01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2021-01-21T07:06:39Z</cp:lastPrinted>
  <dcterms:created xsi:type="dcterms:W3CDTF">2012-08-23T02:55:12Z</dcterms:created>
  <dcterms:modified xsi:type="dcterms:W3CDTF">2021-01-21T11:32:09Z</dcterms:modified>
</cp:coreProperties>
</file>